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C:\Users\Bohra\Desktop\ボーラほむぺ\Bohra2017\example\"/>
    </mc:Choice>
  </mc:AlternateContent>
  <bookViews>
    <workbookView xWindow="0" yWindow="0" windowWidth="13365" windowHeight="7395"/>
  </bookViews>
  <sheets>
    <sheet name="表紙" sheetId="27" r:id="rId1"/>
    <sheet name="外界条件" sheetId="1" r:id="rId2"/>
    <sheet name="位置情報" sheetId="2" r:id="rId3"/>
    <sheet name="外気温度等" sheetId="3" r:id="rId4"/>
    <sheet name="ETD(OW1)" sheetId="4" r:id="rId5"/>
    <sheet name="ETD(OW2)" sheetId="5" r:id="rId6"/>
    <sheet name="ETD(OR1)" sheetId="6" r:id="rId7"/>
    <sheet name="ETD(OR2)" sheetId="7" r:id="rId8"/>
    <sheet name="非空調室温度" sheetId="8" r:id="rId9"/>
    <sheet name="ガラス日射（標準）" sheetId="9" r:id="rId10"/>
    <sheet name="ガラス日射（2F-E）" sheetId="10" r:id="rId11"/>
    <sheet name="熱貫流率" sheetId="11" r:id="rId12"/>
    <sheet name="熱貫流率表" sheetId="12" r:id="rId13"/>
    <sheet name="各室熱負荷" sheetId="13" r:id="rId14"/>
    <sheet name="201" sheetId="14" r:id="rId15"/>
    <sheet name="204" sheetId="15" r:id="rId16"/>
    <sheet name="205" sheetId="16" r:id="rId17"/>
    <sheet name="208" sheetId="17" r:id="rId18"/>
    <sheet name="系統別集計" sheetId="18" r:id="rId19"/>
    <sheet name="AC-2系統集計表" sheetId="19" r:id="rId20"/>
    <sheet name="AC-2系統空気線図" sheetId="20" r:id="rId21"/>
    <sheet name="AC-2系統 DC" sheetId="21" r:id="rId22"/>
    <sheet name="熱源集計" sheetId="22" r:id="rId23"/>
    <sheet name="R-1系統冷熱源" sheetId="23" r:id="rId24"/>
    <sheet name="B-1系統再熱・再生熱源" sheetId="24" r:id="rId25"/>
    <sheet name="R-1系統温熱源" sheetId="25" r:id="rId26"/>
    <sheet name="市水系統加湿源" sheetId="26" r:id="rId27"/>
  </sheets>
  <definedNames>
    <definedName name="ID" localSheetId="14">'201'!$HH$1</definedName>
    <definedName name="ID" localSheetId="15">'204'!$HH$1</definedName>
    <definedName name="ID" localSheetId="16">'205'!$HH$1</definedName>
    <definedName name="ID" localSheetId="17">'208'!$HH$1</definedName>
    <definedName name="ID" localSheetId="1">外界条件!$D$1</definedName>
    <definedName name="ID" localSheetId="13">各室熱負荷!$D$1</definedName>
    <definedName name="ID" localSheetId="18">系統別集計!$D$1</definedName>
    <definedName name="ID" localSheetId="11">熱貫流率!$D$1</definedName>
    <definedName name="ID" localSheetId="22">熱源集計!$D$1</definedName>
    <definedName name="ID" localSheetId="0">表紙!$K$1</definedName>
    <definedName name="_xlnm.Print_Area" localSheetId="14">'201'!$A$1:$HC$69</definedName>
    <definedName name="_xlnm.Print_Area" localSheetId="15">'204'!$A$1:$HC$69</definedName>
    <definedName name="_xlnm.Print_Area" localSheetId="16">'205'!$A$1:$HC$69</definedName>
    <definedName name="_xlnm.Print_Area" localSheetId="17">'208'!$A$1:$HC$69</definedName>
    <definedName name="_xlnm.Print_Area" localSheetId="21">'AC-2系統 DC'!$A$1:$Q$40</definedName>
    <definedName name="_xlnm.Print_Area" localSheetId="19">'AC-2系統集計表'!$A$7:$Y$48</definedName>
    <definedName name="_xlnm.Print_Area" localSheetId="24">'B-1系統再熱・再生熱源'!$A$6:$AC$58</definedName>
    <definedName name="_xlnm.Print_Area" localSheetId="25">'R-1系統温熱源'!$A$6:$G$41</definedName>
    <definedName name="_xlnm.Print_Area" localSheetId="23">'R-1系統冷熱源'!$A$6:$AC$108</definedName>
    <definedName name="_xlnm.Print_Area" localSheetId="10">'ガラス日射（2F-E）'!$A$1:$AB$96</definedName>
    <definedName name="_xlnm.Print_Area" localSheetId="9">'ガラス日射（標準）'!$A$1:$AB$96</definedName>
    <definedName name="_xlnm.Print_Area" localSheetId="2">位置情報!$A$1:$AA$40</definedName>
    <definedName name="_xlnm.Print_Area" localSheetId="1">外界条件!$A$1:$A$16</definedName>
    <definedName name="_xlnm.Print_Area" localSheetId="13">各室熱負荷!$A$1:$A$16</definedName>
    <definedName name="_xlnm.Print_Area" localSheetId="18">系統別集計!$A$1:$A$16</definedName>
    <definedName name="_xlnm.Print_Area" localSheetId="26">市水系統加湿源!$A$7:$R$40</definedName>
    <definedName name="_xlnm.Print_Area" localSheetId="11">熱貫流率!$A$1:$A$16</definedName>
    <definedName name="_xlnm.Print_Area" localSheetId="12">熱貫流率表!$A$6:$L$141</definedName>
    <definedName name="_xlnm.Print_Area" localSheetId="22">熱源集計!$A$1:$A$16</definedName>
    <definedName name="_xlnm.Print_Area" localSheetId="8">非空調室温度!$A$1:$E$29</definedName>
    <definedName name="_xlnm.Print_Area" localSheetId="0">表紙!$A$1:$E$13</definedName>
    <definedName name="_xlnm.Print_Titles" localSheetId="21">'AC-2系統 DC'!$1:$7</definedName>
    <definedName name="_xlnm.Print_Titles" localSheetId="19">'AC-2系統集計表'!$1:$6</definedName>
    <definedName name="_xlnm.Print_Titles" localSheetId="24">'B-1系統再熱・再生熱源'!$1:$5</definedName>
    <definedName name="_xlnm.Print_Titles" localSheetId="25">'R-1系統温熱源'!$1:$5</definedName>
    <definedName name="_xlnm.Print_Titles" localSheetId="23">'R-1系統冷熱源'!$1:$5</definedName>
    <definedName name="_xlnm.Print_Titles" localSheetId="10">'ガラス日射（2F-E）'!$1:$9</definedName>
    <definedName name="_xlnm.Print_Titles" localSheetId="9">'ガラス日射（標準）'!$1:$9</definedName>
    <definedName name="_xlnm.Print_Titles" localSheetId="26">市水系統加湿源!$1:$6</definedName>
    <definedName name="_xlnm.Print_Titles" localSheetId="12">熱貫流率表!$1:$5</definedName>
    <definedName name="会社名" localSheetId="0">表紙!$A$10</definedName>
    <definedName name="顧客名" localSheetId="0">表紙!$A$1</definedName>
    <definedName name="室NO" localSheetId="14">'201'!$B$3</definedName>
    <definedName name="室NO" localSheetId="15">'204'!$B$3</definedName>
    <definedName name="室NO" localSheetId="16">'205'!$B$3</definedName>
    <definedName name="室NO" localSheetId="17">'208'!$B$3</definedName>
    <definedName name="日付" localSheetId="0">表紙!$A$8</definedName>
    <definedName name="面積" localSheetId="14">'201'!$D$5</definedName>
    <definedName name="面積" localSheetId="15">'204'!$D$5</definedName>
    <definedName name="面積" localSheetId="16">'205'!$D$5</definedName>
    <definedName name="面積" localSheetId="17">'208'!$D$5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U23" i="17" l="1"/>
  <c r="FR23" i="17"/>
  <c r="FH23" i="17"/>
  <c r="FF23" i="17"/>
  <c r="FD23" i="17"/>
  <c r="FB23" i="17"/>
  <c r="EZ23" i="17"/>
  <c r="EX23" i="17"/>
  <c r="EV23" i="17"/>
  <c r="ET23" i="17"/>
  <c r="ER23" i="17"/>
  <c r="EP23" i="17"/>
  <c r="EN23" i="17"/>
  <c r="EL23" i="17"/>
  <c r="EJ23" i="17"/>
  <c r="EH23" i="17"/>
  <c r="EF23" i="17"/>
  <c r="ED23" i="17"/>
  <c r="EB23" i="17"/>
  <c r="DZ23" i="17"/>
  <c r="DX23" i="17"/>
  <c r="DV23" i="17"/>
  <c r="DT23" i="17"/>
  <c r="DR23" i="17"/>
  <c r="DP23" i="17"/>
  <c r="DN23" i="17"/>
  <c r="DE23" i="17"/>
  <c r="DC23" i="17"/>
  <c r="DA23" i="17"/>
  <c r="CY23" i="17"/>
  <c r="CW23" i="17"/>
  <c r="CU23" i="17"/>
  <c r="CS23" i="17"/>
  <c r="CQ23" i="17"/>
  <c r="CO23" i="17"/>
  <c r="CM23" i="17"/>
  <c r="CK23" i="17"/>
  <c r="CI23" i="17"/>
  <c r="CG23" i="17"/>
  <c r="CE23" i="17"/>
  <c r="CC23" i="17"/>
  <c r="CA23" i="17"/>
  <c r="BY23" i="17"/>
  <c r="BW23" i="17"/>
  <c r="BU23" i="17"/>
  <c r="BS23" i="17"/>
  <c r="BQ23" i="17"/>
  <c r="BO23" i="17"/>
  <c r="BM23" i="17"/>
  <c r="BK23" i="17"/>
  <c r="BB23" i="17"/>
  <c r="AZ23" i="17"/>
  <c r="AX23" i="17"/>
  <c r="AV23" i="17"/>
  <c r="AT23" i="17"/>
  <c r="AR23" i="17"/>
  <c r="AP23" i="17"/>
  <c r="AN23" i="17"/>
  <c r="AL23" i="17"/>
  <c r="AJ23" i="17"/>
  <c r="AH23" i="17"/>
  <c r="AF23" i="17"/>
  <c r="AD23" i="17"/>
  <c r="AB23" i="17"/>
  <c r="Z23" i="17"/>
  <c r="X23" i="17"/>
  <c r="V23" i="17"/>
  <c r="T23" i="17"/>
  <c r="R23" i="17"/>
  <c r="P23" i="17"/>
  <c r="N23" i="17"/>
  <c r="L23" i="17"/>
  <c r="J23" i="17"/>
  <c r="H23" i="17"/>
  <c r="FU22" i="17"/>
  <c r="FR22" i="17"/>
  <c r="FH22" i="17"/>
  <c r="FF22" i="17"/>
  <c r="FD22" i="17"/>
  <c r="FB22" i="17"/>
  <c r="EZ22" i="17"/>
  <c r="EX22" i="17"/>
  <c r="EV22" i="17"/>
  <c r="ET22" i="17"/>
  <c r="ER22" i="17"/>
  <c r="EP22" i="17"/>
  <c r="EN22" i="17"/>
  <c r="EL22" i="17"/>
  <c r="EJ22" i="17"/>
  <c r="EH22" i="17"/>
  <c r="EF22" i="17"/>
  <c r="ED22" i="17"/>
  <c r="EB22" i="17"/>
  <c r="DZ22" i="17"/>
  <c r="DX22" i="17"/>
  <c r="DV22" i="17"/>
  <c r="DT22" i="17"/>
  <c r="DR22" i="17"/>
  <c r="DP22" i="17"/>
  <c r="DN22" i="17"/>
  <c r="DE22" i="17"/>
  <c r="DC22" i="17"/>
  <c r="DA22" i="17"/>
  <c r="CY22" i="17"/>
  <c r="CW22" i="17"/>
  <c r="CU22" i="17"/>
  <c r="CS22" i="17"/>
  <c r="CQ22" i="17"/>
  <c r="CO22" i="17"/>
  <c r="CM22" i="17"/>
  <c r="CK22" i="17"/>
  <c r="CI22" i="17"/>
  <c r="CG22" i="17"/>
  <c r="CE22" i="17"/>
  <c r="CC22" i="17"/>
  <c r="CA22" i="17"/>
  <c r="BY22" i="17"/>
  <c r="BW22" i="17"/>
  <c r="BU22" i="17"/>
  <c r="BS22" i="17"/>
  <c r="BQ22" i="17"/>
  <c r="BO22" i="17"/>
  <c r="BM22" i="17"/>
  <c r="BK22" i="17"/>
  <c r="BB22" i="17"/>
  <c r="AZ22" i="17"/>
  <c r="AX22" i="17"/>
  <c r="AV22" i="17"/>
  <c r="AT22" i="17"/>
  <c r="AR22" i="17"/>
  <c r="AP22" i="17"/>
  <c r="AN22" i="17"/>
  <c r="AL22" i="17"/>
  <c r="AJ22" i="17"/>
  <c r="AH22" i="17"/>
  <c r="AF22" i="17"/>
  <c r="AD22" i="17"/>
  <c r="AB22" i="17"/>
  <c r="Z22" i="17"/>
  <c r="X22" i="17"/>
  <c r="V22" i="17"/>
  <c r="T22" i="17"/>
  <c r="R22" i="17"/>
  <c r="P22" i="17"/>
  <c r="N22" i="17"/>
  <c r="L22" i="17"/>
  <c r="J22" i="17"/>
  <c r="H22" i="17"/>
  <c r="FU21" i="17"/>
  <c r="FR21" i="17"/>
  <c r="FH21" i="17"/>
  <c r="FF21" i="17"/>
  <c r="FD21" i="17"/>
  <c r="FB21" i="17"/>
  <c r="EZ21" i="17"/>
  <c r="EX21" i="17"/>
  <c r="EV21" i="17"/>
  <c r="ET21" i="17"/>
  <c r="ER21" i="17"/>
  <c r="EP21" i="17"/>
  <c r="EN21" i="17"/>
  <c r="EL21" i="17"/>
  <c r="EJ21" i="17"/>
  <c r="EH21" i="17"/>
  <c r="EF21" i="17"/>
  <c r="ED21" i="17"/>
  <c r="EB21" i="17"/>
  <c r="DZ21" i="17"/>
  <c r="DX21" i="17"/>
  <c r="DV21" i="17"/>
  <c r="DT21" i="17"/>
  <c r="DR21" i="17"/>
  <c r="DP21" i="17"/>
  <c r="DN21" i="17"/>
  <c r="DE21" i="17"/>
  <c r="DC21" i="17"/>
  <c r="DA21" i="17"/>
  <c r="CY21" i="17"/>
  <c r="CW21" i="17"/>
  <c r="CU21" i="17"/>
  <c r="CS21" i="17"/>
  <c r="CQ21" i="17"/>
  <c r="CO21" i="17"/>
  <c r="CM21" i="17"/>
  <c r="CK21" i="17"/>
  <c r="CI21" i="17"/>
  <c r="CG21" i="17"/>
  <c r="CE21" i="17"/>
  <c r="CC21" i="17"/>
  <c r="CA21" i="17"/>
  <c r="BY21" i="17"/>
  <c r="BW21" i="17"/>
  <c r="BU21" i="17"/>
  <c r="BS21" i="17"/>
  <c r="BQ21" i="17"/>
  <c r="BO21" i="17"/>
  <c r="BM21" i="17"/>
  <c r="BK21" i="17"/>
  <c r="BB21" i="17"/>
  <c r="AZ21" i="17"/>
  <c r="AX21" i="17"/>
  <c r="AV21" i="17"/>
  <c r="AT21" i="17"/>
  <c r="AR21" i="17"/>
  <c r="AP21" i="17"/>
  <c r="AN21" i="17"/>
  <c r="AL21" i="17"/>
  <c r="AJ21" i="17"/>
  <c r="AH21" i="17"/>
  <c r="AF21" i="17"/>
  <c r="AD21" i="17"/>
  <c r="AB21" i="17"/>
  <c r="Z21" i="17"/>
  <c r="X21" i="17"/>
  <c r="V21" i="17"/>
  <c r="T21" i="17"/>
  <c r="R21" i="17"/>
  <c r="P21" i="17"/>
  <c r="N21" i="17"/>
  <c r="L21" i="17"/>
  <c r="J21" i="17"/>
  <c r="H21" i="17"/>
  <c r="FU20" i="17"/>
  <c r="FR20" i="17"/>
  <c r="FH20" i="17"/>
  <c r="FF20" i="17"/>
  <c r="FD20" i="17"/>
  <c r="FB20" i="17"/>
  <c r="EZ20" i="17"/>
  <c r="EX20" i="17"/>
  <c r="EV20" i="17"/>
  <c r="ET20" i="17"/>
  <c r="ER20" i="17"/>
  <c r="EP20" i="17"/>
  <c r="EN20" i="17"/>
  <c r="EL20" i="17"/>
  <c r="EJ20" i="17"/>
  <c r="EH20" i="17"/>
  <c r="EF20" i="17"/>
  <c r="ED20" i="17"/>
  <c r="EB20" i="17"/>
  <c r="DZ20" i="17"/>
  <c r="DX20" i="17"/>
  <c r="DV20" i="17"/>
  <c r="DT20" i="17"/>
  <c r="DR20" i="17"/>
  <c r="DP20" i="17"/>
  <c r="DN20" i="17"/>
  <c r="DE20" i="17"/>
  <c r="DC20" i="17"/>
  <c r="DA20" i="17"/>
  <c r="CY20" i="17"/>
  <c r="CW20" i="17"/>
  <c r="CU20" i="17"/>
  <c r="CS20" i="17"/>
  <c r="CQ20" i="17"/>
  <c r="CO20" i="17"/>
  <c r="CM20" i="17"/>
  <c r="CK20" i="17"/>
  <c r="CI20" i="17"/>
  <c r="CG20" i="17"/>
  <c r="CE20" i="17"/>
  <c r="CC20" i="17"/>
  <c r="CA20" i="17"/>
  <c r="BY20" i="17"/>
  <c r="BW20" i="17"/>
  <c r="BU20" i="17"/>
  <c r="BS20" i="17"/>
  <c r="BQ20" i="17"/>
  <c r="BO20" i="17"/>
  <c r="BM20" i="17"/>
  <c r="BK20" i="17"/>
  <c r="BB20" i="17"/>
  <c r="AZ20" i="17"/>
  <c r="AX20" i="17"/>
  <c r="AV20" i="17"/>
  <c r="AT20" i="17"/>
  <c r="AR20" i="17"/>
  <c r="AP20" i="17"/>
  <c r="AN20" i="17"/>
  <c r="AL20" i="17"/>
  <c r="AJ20" i="17"/>
  <c r="AH20" i="17"/>
  <c r="AF20" i="17"/>
  <c r="AD20" i="17"/>
  <c r="AB20" i="17"/>
  <c r="Z20" i="17"/>
  <c r="X20" i="17"/>
  <c r="V20" i="17"/>
  <c r="T20" i="17"/>
  <c r="R20" i="17"/>
  <c r="P20" i="17"/>
  <c r="N20" i="17"/>
  <c r="L20" i="17"/>
  <c r="J20" i="17"/>
  <c r="H20" i="17"/>
  <c r="FU19" i="17"/>
  <c r="FR19" i="17"/>
  <c r="FH19" i="17"/>
  <c r="FF19" i="17"/>
  <c r="FD19" i="17"/>
  <c r="FB19" i="17"/>
  <c r="EZ19" i="17"/>
  <c r="EX19" i="17"/>
  <c r="EV19" i="17"/>
  <c r="ET19" i="17"/>
  <c r="ER19" i="17"/>
  <c r="EP19" i="17"/>
  <c r="EN19" i="17"/>
  <c r="EL19" i="17"/>
  <c r="EJ19" i="17"/>
  <c r="EH19" i="17"/>
  <c r="EF19" i="17"/>
  <c r="ED19" i="17"/>
  <c r="EB19" i="17"/>
  <c r="DZ19" i="17"/>
  <c r="DX19" i="17"/>
  <c r="DV19" i="17"/>
  <c r="DT19" i="17"/>
  <c r="DR19" i="17"/>
  <c r="DP19" i="17"/>
  <c r="DN19" i="17"/>
  <c r="DE19" i="17"/>
  <c r="DC19" i="17"/>
  <c r="DA19" i="17"/>
  <c r="CY19" i="17"/>
  <c r="CW19" i="17"/>
  <c r="CU19" i="17"/>
  <c r="CS19" i="17"/>
  <c r="CQ19" i="17"/>
  <c r="CO19" i="17"/>
  <c r="CM19" i="17"/>
  <c r="CK19" i="17"/>
  <c r="CI19" i="17"/>
  <c r="CG19" i="17"/>
  <c r="CE19" i="17"/>
  <c r="CC19" i="17"/>
  <c r="CA19" i="17"/>
  <c r="BY19" i="17"/>
  <c r="BW19" i="17"/>
  <c r="BU19" i="17"/>
  <c r="BS19" i="17"/>
  <c r="BQ19" i="17"/>
  <c r="BO19" i="17"/>
  <c r="BM19" i="17"/>
  <c r="BK19" i="17"/>
  <c r="BB19" i="17"/>
  <c r="AZ19" i="17"/>
  <c r="AX19" i="17"/>
  <c r="AV19" i="17"/>
  <c r="AT19" i="17"/>
  <c r="AR19" i="17"/>
  <c r="AP19" i="17"/>
  <c r="AN19" i="17"/>
  <c r="AL19" i="17"/>
  <c r="AJ19" i="17"/>
  <c r="AH19" i="17"/>
  <c r="AF19" i="17"/>
  <c r="AD19" i="17"/>
  <c r="AB19" i="17"/>
  <c r="Z19" i="17"/>
  <c r="X19" i="17"/>
  <c r="V19" i="17"/>
  <c r="T19" i="17"/>
  <c r="R19" i="17"/>
  <c r="P19" i="17"/>
  <c r="N19" i="17"/>
  <c r="L19" i="17"/>
  <c r="J19" i="17"/>
  <c r="H19" i="17"/>
  <c r="FH10" i="17"/>
  <c r="FF10" i="17"/>
  <c r="FD10" i="17"/>
  <c r="FB10" i="17"/>
  <c r="EZ10" i="17"/>
  <c r="EX10" i="17"/>
  <c r="EV10" i="17"/>
  <c r="ET10" i="17"/>
  <c r="ER10" i="17"/>
  <c r="EP10" i="17"/>
  <c r="EN10" i="17"/>
  <c r="EL10" i="17"/>
  <c r="EJ10" i="17"/>
  <c r="EH10" i="17"/>
  <c r="EF10" i="17"/>
  <c r="ED10" i="17"/>
  <c r="EB10" i="17"/>
  <c r="DZ10" i="17"/>
  <c r="DX10" i="17"/>
  <c r="DV10" i="17"/>
  <c r="DT10" i="17"/>
  <c r="DR10" i="17"/>
  <c r="DP10" i="17"/>
  <c r="DN10" i="17"/>
  <c r="DE10" i="17"/>
  <c r="DC10" i="17"/>
  <c r="DA10" i="17"/>
  <c r="CY10" i="17"/>
  <c r="CW10" i="17"/>
  <c r="CU10" i="17"/>
  <c r="CS10" i="17"/>
  <c r="CQ10" i="17"/>
  <c r="CO10" i="17"/>
  <c r="CM10" i="17"/>
  <c r="CK10" i="17"/>
  <c r="CI10" i="17"/>
  <c r="CG10" i="17"/>
  <c r="CE10" i="17"/>
  <c r="CC10" i="17"/>
  <c r="CA10" i="17"/>
  <c r="BY10" i="17"/>
  <c r="BW10" i="17"/>
  <c r="BU10" i="17"/>
  <c r="BS10" i="17"/>
  <c r="BQ10" i="17"/>
  <c r="BO10" i="17"/>
  <c r="BM10" i="17"/>
  <c r="BK10" i="17"/>
  <c r="BB10" i="17"/>
  <c r="AZ10" i="17"/>
  <c r="AX10" i="17"/>
  <c r="AV10" i="17"/>
  <c r="AT10" i="17"/>
  <c r="AR10" i="17"/>
  <c r="AP10" i="17"/>
  <c r="AN10" i="17"/>
  <c r="AL10" i="17"/>
  <c r="AJ10" i="17"/>
  <c r="AH10" i="17"/>
  <c r="AF10" i="17"/>
  <c r="AD10" i="17"/>
  <c r="AB10" i="17"/>
  <c r="Z10" i="17"/>
  <c r="X10" i="17"/>
  <c r="V10" i="17"/>
  <c r="T10" i="17"/>
  <c r="R10" i="17"/>
  <c r="P10" i="17"/>
  <c r="N10" i="17"/>
  <c r="L10" i="17"/>
  <c r="J10" i="17"/>
  <c r="H10" i="17"/>
  <c r="D10" i="17"/>
  <c r="FU18" i="17"/>
  <c r="FR18" i="17"/>
  <c r="FH18" i="17"/>
  <c r="FF18" i="17"/>
  <c r="FD18" i="17"/>
  <c r="FB18" i="17"/>
  <c r="EZ18" i="17"/>
  <c r="EX18" i="17"/>
  <c r="EV18" i="17"/>
  <c r="ET18" i="17"/>
  <c r="ER18" i="17"/>
  <c r="EP18" i="17"/>
  <c r="EN18" i="17"/>
  <c r="EL18" i="17"/>
  <c r="EJ18" i="17"/>
  <c r="EH18" i="17"/>
  <c r="EF18" i="17"/>
  <c r="ED18" i="17"/>
  <c r="EB18" i="17"/>
  <c r="DZ18" i="17"/>
  <c r="DX18" i="17"/>
  <c r="DV18" i="17"/>
  <c r="DT18" i="17"/>
  <c r="DR18" i="17"/>
  <c r="DP18" i="17"/>
  <c r="DN18" i="17"/>
  <c r="DE18" i="17"/>
  <c r="DC18" i="17"/>
  <c r="DA18" i="17"/>
  <c r="CY18" i="17"/>
  <c r="CW18" i="17"/>
  <c r="CU18" i="17"/>
  <c r="CS18" i="17"/>
  <c r="CQ18" i="17"/>
  <c r="CO18" i="17"/>
  <c r="CM18" i="17"/>
  <c r="CK18" i="17"/>
  <c r="CI18" i="17"/>
  <c r="CG18" i="17"/>
  <c r="CE18" i="17"/>
  <c r="CC18" i="17"/>
  <c r="CA18" i="17"/>
  <c r="BY18" i="17"/>
  <c r="BW18" i="17"/>
  <c r="BU18" i="17"/>
  <c r="BS18" i="17"/>
  <c r="BQ18" i="17"/>
  <c r="BO18" i="17"/>
  <c r="BM18" i="17"/>
  <c r="BK18" i="17"/>
  <c r="BB18" i="17"/>
  <c r="AZ18" i="17"/>
  <c r="AX18" i="17"/>
  <c r="AV18" i="17"/>
  <c r="AT18" i="17"/>
  <c r="AR18" i="17"/>
  <c r="AP18" i="17"/>
  <c r="AN18" i="17"/>
  <c r="AL18" i="17"/>
  <c r="AJ18" i="17"/>
  <c r="AH18" i="17"/>
  <c r="AF18" i="17"/>
  <c r="AD18" i="17"/>
  <c r="AB18" i="17"/>
  <c r="Z18" i="17"/>
  <c r="X18" i="17"/>
  <c r="V18" i="17"/>
  <c r="T18" i="17"/>
  <c r="R18" i="17"/>
  <c r="P18" i="17"/>
  <c r="N18" i="17"/>
  <c r="L18" i="17"/>
  <c r="J18" i="17"/>
  <c r="H18" i="17"/>
  <c r="FU17" i="17"/>
  <c r="FR17" i="17"/>
  <c r="FH17" i="17"/>
  <c r="FF17" i="17"/>
  <c r="FD17" i="17"/>
  <c r="FB17" i="17"/>
  <c r="EZ17" i="17"/>
  <c r="EX17" i="17"/>
  <c r="EV17" i="17"/>
  <c r="ET17" i="17"/>
  <c r="ER17" i="17"/>
  <c r="EP17" i="17"/>
  <c r="EN17" i="17"/>
  <c r="EL17" i="17"/>
  <c r="EJ17" i="17"/>
  <c r="EH17" i="17"/>
  <c r="EF17" i="17"/>
  <c r="ED17" i="17"/>
  <c r="EB17" i="17"/>
  <c r="DZ17" i="17"/>
  <c r="DX17" i="17"/>
  <c r="DV17" i="17"/>
  <c r="DT17" i="17"/>
  <c r="DR17" i="17"/>
  <c r="DP17" i="17"/>
  <c r="DP26" i="17" s="1"/>
  <c r="DN17" i="17"/>
  <c r="DE17" i="17"/>
  <c r="DC17" i="17"/>
  <c r="DA17" i="17"/>
  <c r="CY17" i="17"/>
  <c r="CW17" i="17"/>
  <c r="CU17" i="17"/>
  <c r="CS17" i="17"/>
  <c r="CS26" i="17" s="1"/>
  <c r="CQ17" i="17"/>
  <c r="CO17" i="17"/>
  <c r="CM17" i="17"/>
  <c r="CK17" i="17"/>
  <c r="CI17" i="17"/>
  <c r="CG17" i="17"/>
  <c r="CE17" i="17"/>
  <c r="CC17" i="17"/>
  <c r="CC26" i="17" s="1"/>
  <c r="CA17" i="17"/>
  <c r="BY17" i="17"/>
  <c r="BW17" i="17"/>
  <c r="BU17" i="17"/>
  <c r="BS17" i="17"/>
  <c r="BQ17" i="17"/>
  <c r="BO17" i="17"/>
  <c r="BM17" i="17"/>
  <c r="BM26" i="17" s="1"/>
  <c r="BK17" i="17"/>
  <c r="BB17" i="17"/>
  <c r="AZ17" i="17"/>
  <c r="AX17" i="17"/>
  <c r="AV17" i="17"/>
  <c r="AT17" i="17"/>
  <c r="AR17" i="17"/>
  <c r="AP17" i="17"/>
  <c r="AP26" i="17" s="1"/>
  <c r="AN17" i="17"/>
  <c r="AL17" i="17"/>
  <c r="AJ17" i="17"/>
  <c r="AH17" i="17"/>
  <c r="AF17" i="17"/>
  <c r="AD17" i="17"/>
  <c r="AB17" i="17"/>
  <c r="Z17" i="17"/>
  <c r="Z26" i="17" s="1"/>
  <c r="X17" i="17"/>
  <c r="V17" i="17"/>
  <c r="T17" i="17"/>
  <c r="R17" i="17"/>
  <c r="R26" i="17" s="1"/>
  <c r="P17" i="17"/>
  <c r="N17" i="17"/>
  <c r="L17" i="17"/>
  <c r="J17" i="17"/>
  <c r="J26" i="17" s="1"/>
  <c r="H17" i="17"/>
  <c r="FU16" i="17"/>
  <c r="FR16" i="17"/>
  <c r="FH16" i="17"/>
  <c r="FH26" i="17" s="1"/>
  <c r="FF16" i="17"/>
  <c r="FD16" i="17"/>
  <c r="FB16" i="17"/>
  <c r="EZ16" i="17"/>
  <c r="EZ26" i="17" s="1"/>
  <c r="EX16" i="17"/>
  <c r="EV16" i="17"/>
  <c r="ET16" i="17"/>
  <c r="ER16" i="17"/>
  <c r="EP16" i="17"/>
  <c r="EN16" i="17"/>
  <c r="EL16" i="17"/>
  <c r="EJ16" i="17"/>
  <c r="EH16" i="17"/>
  <c r="EF16" i="17"/>
  <c r="ED16" i="17"/>
  <c r="EB16" i="17"/>
  <c r="EB26" i="17" s="1"/>
  <c r="DZ16" i="17"/>
  <c r="DX16" i="17"/>
  <c r="DV16" i="17"/>
  <c r="DT16" i="17"/>
  <c r="DT26" i="17" s="1"/>
  <c r="DR16" i="17"/>
  <c r="DP16" i="17"/>
  <c r="DN16" i="17"/>
  <c r="DE16" i="17"/>
  <c r="DE26" i="17" s="1"/>
  <c r="DC16" i="17"/>
  <c r="DA16" i="17"/>
  <c r="CY16" i="17"/>
  <c r="CW16" i="17"/>
  <c r="CU16" i="17"/>
  <c r="CS16" i="17"/>
  <c r="CQ16" i="17"/>
  <c r="CO16" i="17"/>
  <c r="CO26" i="17" s="1"/>
  <c r="CM16" i="17"/>
  <c r="CK16" i="17"/>
  <c r="CI16" i="17"/>
  <c r="CG16" i="17"/>
  <c r="CG26" i="17" s="1"/>
  <c r="CE16" i="17"/>
  <c r="CC16" i="17"/>
  <c r="CA16" i="17"/>
  <c r="BY16" i="17"/>
  <c r="BW16" i="17"/>
  <c r="BU16" i="17"/>
  <c r="BS16" i="17"/>
  <c r="BQ16" i="17"/>
  <c r="BO16" i="17"/>
  <c r="BM16" i="17"/>
  <c r="BK16" i="17"/>
  <c r="BB16" i="17"/>
  <c r="BB26" i="17" s="1"/>
  <c r="AZ16" i="17"/>
  <c r="AX16" i="17"/>
  <c r="AV16" i="17"/>
  <c r="AT16" i="17"/>
  <c r="AT26" i="17" s="1"/>
  <c r="AR16" i="17"/>
  <c r="AP16" i="17"/>
  <c r="AN16" i="17"/>
  <c r="AL16" i="17"/>
  <c r="AL26" i="17" s="1"/>
  <c r="AJ16" i="17"/>
  <c r="AH16" i="17"/>
  <c r="AF16" i="17"/>
  <c r="AD16" i="17"/>
  <c r="AB16" i="17"/>
  <c r="Z16" i="17"/>
  <c r="X16" i="17"/>
  <c r="V16" i="17"/>
  <c r="V26" i="17" s="1"/>
  <c r="T16" i="17"/>
  <c r="R16" i="17"/>
  <c r="P16" i="17"/>
  <c r="N16" i="17"/>
  <c r="N26" i="17" s="1"/>
  <c r="L16" i="17"/>
  <c r="J16" i="17"/>
  <c r="H16" i="17"/>
  <c r="DM68" i="17"/>
  <c r="BJ68" i="17"/>
  <c r="FR26" i="17"/>
  <c r="FF26" i="17"/>
  <c r="FB26" i="17"/>
  <c r="EX26" i="17"/>
  <c r="ET26" i="17"/>
  <c r="ER26" i="17"/>
  <c r="EP26" i="17"/>
  <c r="EL26" i="17"/>
  <c r="EJ26" i="17"/>
  <c r="EH26" i="17"/>
  <c r="ED26" i="17"/>
  <c r="DZ26" i="17"/>
  <c r="DV26" i="17"/>
  <c r="DR26" i="17"/>
  <c r="DN26" i="17"/>
  <c r="DC26" i="17"/>
  <c r="CY26" i="17"/>
  <c r="CW26" i="17"/>
  <c r="CU26" i="17"/>
  <c r="CQ26" i="17"/>
  <c r="CM26" i="17"/>
  <c r="CI26" i="17"/>
  <c r="CE26" i="17"/>
  <c r="CA26" i="17"/>
  <c r="BY26" i="17"/>
  <c r="BW26" i="17"/>
  <c r="BS26" i="17"/>
  <c r="BQ26" i="17"/>
  <c r="BO26" i="17"/>
  <c r="BK26" i="17"/>
  <c r="AZ26" i="17"/>
  <c r="AV26" i="17"/>
  <c r="AR26" i="17"/>
  <c r="AN26" i="17"/>
  <c r="AJ26" i="17"/>
  <c r="AF26" i="17"/>
  <c r="AD26" i="17"/>
  <c r="AB26" i="17"/>
  <c r="X26" i="17"/>
  <c r="T26" i="17"/>
  <c r="P26" i="17"/>
  <c r="L26" i="17"/>
  <c r="H26" i="17"/>
  <c r="FU14" i="17"/>
  <c r="FR14" i="17"/>
  <c r="FH14" i="17"/>
  <c r="FF14" i="17"/>
  <c r="FD14" i="17"/>
  <c r="FB14" i="17"/>
  <c r="EZ14" i="17"/>
  <c r="EX14" i="17"/>
  <c r="EV14" i="17"/>
  <c r="ET14" i="17"/>
  <c r="ER14" i="17"/>
  <c r="EP14" i="17"/>
  <c r="EN14" i="17"/>
  <c r="EL14" i="17"/>
  <c r="EJ14" i="17"/>
  <c r="EH14" i="17"/>
  <c r="EF14" i="17"/>
  <c r="ED14" i="17"/>
  <c r="EB14" i="17"/>
  <c r="DZ14" i="17"/>
  <c r="DX14" i="17"/>
  <c r="DV14" i="17"/>
  <c r="DT14" i="17"/>
  <c r="DR14" i="17"/>
  <c r="DP14" i="17"/>
  <c r="DN14" i="17"/>
  <c r="DE14" i="17"/>
  <c r="DC14" i="17"/>
  <c r="DA14" i="17"/>
  <c r="CY14" i="17"/>
  <c r="CW14" i="17"/>
  <c r="CU14" i="17"/>
  <c r="CS14" i="17"/>
  <c r="CQ14" i="17"/>
  <c r="CO14" i="17"/>
  <c r="CM14" i="17"/>
  <c r="CK14" i="17"/>
  <c r="CI14" i="17"/>
  <c r="CG14" i="17"/>
  <c r="CE14" i="17"/>
  <c r="CC14" i="17"/>
  <c r="CA14" i="17"/>
  <c r="BY14" i="17"/>
  <c r="BW14" i="17"/>
  <c r="BU14" i="17"/>
  <c r="BS14" i="17"/>
  <c r="BQ14" i="17"/>
  <c r="BO14" i="17"/>
  <c r="BM14" i="17"/>
  <c r="BK14" i="17"/>
  <c r="BB14" i="17"/>
  <c r="AZ14" i="17"/>
  <c r="AX14" i="17"/>
  <c r="AV14" i="17"/>
  <c r="AT14" i="17"/>
  <c r="AR14" i="17"/>
  <c r="AP14" i="17"/>
  <c r="AN14" i="17"/>
  <c r="AL14" i="17"/>
  <c r="AJ14" i="17"/>
  <c r="AH14" i="17"/>
  <c r="AF14" i="17"/>
  <c r="AD14" i="17"/>
  <c r="AB14" i="17"/>
  <c r="Z14" i="17"/>
  <c r="X14" i="17"/>
  <c r="V14" i="17"/>
  <c r="T14" i="17"/>
  <c r="R14" i="17"/>
  <c r="P14" i="17"/>
  <c r="N14" i="17"/>
  <c r="L14" i="17"/>
  <c r="J14" i="17"/>
  <c r="H14" i="17"/>
  <c r="FE1" i="17"/>
  <c r="DB1" i="17"/>
  <c r="FU20" i="16"/>
  <c r="FR20" i="16"/>
  <c r="FH20" i="16"/>
  <c r="FF20" i="16"/>
  <c r="FD20" i="16"/>
  <c r="FB20" i="16"/>
  <c r="EZ20" i="16"/>
  <c r="EX20" i="16"/>
  <c r="EV20" i="16"/>
  <c r="ET20" i="16"/>
  <c r="ER20" i="16"/>
  <c r="EP20" i="16"/>
  <c r="EN20" i="16"/>
  <c r="EL20" i="16"/>
  <c r="EJ20" i="16"/>
  <c r="EH20" i="16"/>
  <c r="EF20" i="16"/>
  <c r="ED20" i="16"/>
  <c r="EB20" i="16"/>
  <c r="DZ20" i="16"/>
  <c r="DX20" i="16"/>
  <c r="DV20" i="16"/>
  <c r="DT20" i="16"/>
  <c r="DR20" i="16"/>
  <c r="DP20" i="16"/>
  <c r="DN20" i="16"/>
  <c r="DE20" i="16"/>
  <c r="DC20" i="16"/>
  <c r="DA20" i="16"/>
  <c r="CY20" i="16"/>
  <c r="CW20" i="16"/>
  <c r="CU20" i="16"/>
  <c r="CS20" i="16"/>
  <c r="CQ20" i="16"/>
  <c r="CO20" i="16"/>
  <c r="CM20" i="16"/>
  <c r="CK20" i="16"/>
  <c r="CI20" i="16"/>
  <c r="CG20" i="16"/>
  <c r="CE20" i="16"/>
  <c r="CC20" i="16"/>
  <c r="CA20" i="16"/>
  <c r="BY20" i="16"/>
  <c r="BW20" i="16"/>
  <c r="BU20" i="16"/>
  <c r="BS20" i="16"/>
  <c r="BQ20" i="16"/>
  <c r="BO20" i="16"/>
  <c r="BM20" i="16"/>
  <c r="BK20" i="16"/>
  <c r="BB20" i="16"/>
  <c r="AZ20" i="16"/>
  <c r="AX20" i="16"/>
  <c r="AV20" i="16"/>
  <c r="AT20" i="16"/>
  <c r="AR20" i="16"/>
  <c r="AP20" i="16"/>
  <c r="AN20" i="16"/>
  <c r="AL20" i="16"/>
  <c r="AJ20" i="16"/>
  <c r="AH20" i="16"/>
  <c r="AF20" i="16"/>
  <c r="AD20" i="16"/>
  <c r="AB20" i="16"/>
  <c r="Z20" i="16"/>
  <c r="X20" i="16"/>
  <c r="V20" i="16"/>
  <c r="T20" i="16"/>
  <c r="R20" i="16"/>
  <c r="P20" i="16"/>
  <c r="N20" i="16"/>
  <c r="L20" i="16"/>
  <c r="J20" i="16"/>
  <c r="H20" i="16"/>
  <c r="FU19" i="16"/>
  <c r="FR19" i="16"/>
  <c r="FH19" i="16"/>
  <c r="FF19" i="16"/>
  <c r="FD19" i="16"/>
  <c r="FB19" i="16"/>
  <c r="EZ19" i="16"/>
  <c r="EX19" i="16"/>
  <c r="EV19" i="16"/>
  <c r="ET19" i="16"/>
  <c r="ER19" i="16"/>
  <c r="EP19" i="16"/>
  <c r="EN19" i="16"/>
  <c r="EL19" i="16"/>
  <c r="EJ19" i="16"/>
  <c r="EH19" i="16"/>
  <c r="EF19" i="16"/>
  <c r="ED19" i="16"/>
  <c r="EB19" i="16"/>
  <c r="DZ19" i="16"/>
  <c r="DX19" i="16"/>
  <c r="DV19" i="16"/>
  <c r="DT19" i="16"/>
  <c r="DR19" i="16"/>
  <c r="DP19" i="16"/>
  <c r="DN19" i="16"/>
  <c r="DE19" i="16"/>
  <c r="DC19" i="16"/>
  <c r="DA19" i="16"/>
  <c r="CY19" i="16"/>
  <c r="CW19" i="16"/>
  <c r="CU19" i="16"/>
  <c r="CS19" i="16"/>
  <c r="CQ19" i="16"/>
  <c r="CO19" i="16"/>
  <c r="CM19" i="16"/>
  <c r="CK19" i="16"/>
  <c r="CI19" i="16"/>
  <c r="CG19" i="16"/>
  <c r="CE19" i="16"/>
  <c r="CC19" i="16"/>
  <c r="CA19" i="16"/>
  <c r="BY19" i="16"/>
  <c r="BW19" i="16"/>
  <c r="BU19" i="16"/>
  <c r="BS19" i="16"/>
  <c r="BQ19" i="16"/>
  <c r="BO19" i="16"/>
  <c r="BM19" i="16"/>
  <c r="BK19" i="16"/>
  <c r="BB19" i="16"/>
  <c r="AZ19" i="16"/>
  <c r="AX19" i="16"/>
  <c r="AV19" i="16"/>
  <c r="AT19" i="16"/>
  <c r="AR19" i="16"/>
  <c r="AP19" i="16"/>
  <c r="AN19" i="16"/>
  <c r="AL19" i="16"/>
  <c r="AJ19" i="16"/>
  <c r="AH19" i="16"/>
  <c r="AF19" i="16"/>
  <c r="AD19" i="16"/>
  <c r="AB19" i="16"/>
  <c r="Z19" i="16"/>
  <c r="X19" i="16"/>
  <c r="V19" i="16"/>
  <c r="T19" i="16"/>
  <c r="R19" i="16"/>
  <c r="P19" i="16"/>
  <c r="N19" i="16"/>
  <c r="L19" i="16"/>
  <c r="J19" i="16"/>
  <c r="H19" i="16"/>
  <c r="FU18" i="16"/>
  <c r="FR18" i="16"/>
  <c r="FH18" i="16"/>
  <c r="FF18" i="16"/>
  <c r="FD18" i="16"/>
  <c r="FB18" i="16"/>
  <c r="EZ18" i="16"/>
  <c r="EX18" i="16"/>
  <c r="EV18" i="16"/>
  <c r="ET18" i="16"/>
  <c r="ER18" i="16"/>
  <c r="EP18" i="16"/>
  <c r="EN18" i="16"/>
  <c r="EL18" i="16"/>
  <c r="EJ18" i="16"/>
  <c r="EH18" i="16"/>
  <c r="EF18" i="16"/>
  <c r="ED18" i="16"/>
  <c r="EB18" i="16"/>
  <c r="DZ18" i="16"/>
  <c r="DX18" i="16"/>
  <c r="DV18" i="16"/>
  <c r="DT18" i="16"/>
  <c r="DR18" i="16"/>
  <c r="DP18" i="16"/>
  <c r="DN18" i="16"/>
  <c r="DE18" i="16"/>
  <c r="DC18" i="16"/>
  <c r="DA18" i="16"/>
  <c r="CY18" i="16"/>
  <c r="CW18" i="16"/>
  <c r="CU18" i="16"/>
  <c r="CS18" i="16"/>
  <c r="CQ18" i="16"/>
  <c r="CO18" i="16"/>
  <c r="CM18" i="16"/>
  <c r="CK18" i="16"/>
  <c r="CI18" i="16"/>
  <c r="CG18" i="16"/>
  <c r="CE18" i="16"/>
  <c r="CC18" i="16"/>
  <c r="CA18" i="16"/>
  <c r="BY18" i="16"/>
  <c r="BW18" i="16"/>
  <c r="BU18" i="16"/>
  <c r="BS18" i="16"/>
  <c r="BQ18" i="16"/>
  <c r="BO18" i="16"/>
  <c r="BM18" i="16"/>
  <c r="BK18" i="16"/>
  <c r="BB18" i="16"/>
  <c r="AZ18" i="16"/>
  <c r="AX18" i="16"/>
  <c r="AV18" i="16"/>
  <c r="AT18" i="16"/>
  <c r="AR18" i="16"/>
  <c r="AP18" i="16"/>
  <c r="AN18" i="16"/>
  <c r="AL18" i="16"/>
  <c r="AJ18" i="16"/>
  <c r="AH18" i="16"/>
  <c r="AF18" i="16"/>
  <c r="AD18" i="16"/>
  <c r="AB18" i="16"/>
  <c r="Z18" i="16"/>
  <c r="X18" i="16"/>
  <c r="V18" i="16"/>
  <c r="T18" i="16"/>
  <c r="R18" i="16"/>
  <c r="P18" i="16"/>
  <c r="N18" i="16"/>
  <c r="L18" i="16"/>
  <c r="J18" i="16"/>
  <c r="H18" i="16"/>
  <c r="FU17" i="16"/>
  <c r="FR17" i="16"/>
  <c r="FH17" i="16"/>
  <c r="FF17" i="16"/>
  <c r="FD17" i="16"/>
  <c r="FB17" i="16"/>
  <c r="EZ17" i="16"/>
  <c r="EX17" i="16"/>
  <c r="EV17" i="16"/>
  <c r="ET17" i="16"/>
  <c r="ER17" i="16"/>
  <c r="EP17" i="16"/>
  <c r="EN17" i="16"/>
  <c r="EL17" i="16"/>
  <c r="EJ17" i="16"/>
  <c r="EH17" i="16"/>
  <c r="EF17" i="16"/>
  <c r="ED17" i="16"/>
  <c r="EB17" i="16"/>
  <c r="DZ17" i="16"/>
  <c r="DX17" i="16"/>
  <c r="DV17" i="16"/>
  <c r="DT17" i="16"/>
  <c r="DR17" i="16"/>
  <c r="DP17" i="16"/>
  <c r="DN17" i="16"/>
  <c r="DE17" i="16"/>
  <c r="DC17" i="16"/>
  <c r="DA17" i="16"/>
  <c r="CY17" i="16"/>
  <c r="CW17" i="16"/>
  <c r="CU17" i="16"/>
  <c r="CS17" i="16"/>
  <c r="CQ17" i="16"/>
  <c r="CO17" i="16"/>
  <c r="CM17" i="16"/>
  <c r="CK17" i="16"/>
  <c r="CI17" i="16"/>
  <c r="CG17" i="16"/>
  <c r="CE17" i="16"/>
  <c r="CC17" i="16"/>
  <c r="CA17" i="16"/>
  <c r="BY17" i="16"/>
  <c r="BW17" i="16"/>
  <c r="BU17" i="16"/>
  <c r="BS17" i="16"/>
  <c r="BQ17" i="16"/>
  <c r="BO17" i="16"/>
  <c r="BM17" i="16"/>
  <c r="BK17" i="16"/>
  <c r="BB17" i="16"/>
  <c r="AZ17" i="16"/>
  <c r="AX17" i="16"/>
  <c r="AV17" i="16"/>
  <c r="AT17" i="16"/>
  <c r="AR17" i="16"/>
  <c r="AP17" i="16"/>
  <c r="AN17" i="16"/>
  <c r="AL17" i="16"/>
  <c r="AJ17" i="16"/>
  <c r="AH17" i="16"/>
  <c r="AF17" i="16"/>
  <c r="AD17" i="16"/>
  <c r="AB17" i="16"/>
  <c r="Z17" i="16"/>
  <c r="X17" i="16"/>
  <c r="V17" i="16"/>
  <c r="T17" i="16"/>
  <c r="R17" i="16"/>
  <c r="P17" i="16"/>
  <c r="N17" i="16"/>
  <c r="L17" i="16"/>
  <c r="J17" i="16"/>
  <c r="H17" i="16"/>
  <c r="FU16" i="16"/>
  <c r="FR16" i="16"/>
  <c r="FH16" i="16"/>
  <c r="FF16" i="16"/>
  <c r="FD16" i="16"/>
  <c r="FB16" i="16"/>
  <c r="EZ16" i="16"/>
  <c r="EX16" i="16"/>
  <c r="EV16" i="16"/>
  <c r="ET16" i="16"/>
  <c r="ER16" i="16"/>
  <c r="EP16" i="16"/>
  <c r="EN16" i="16"/>
  <c r="EL16" i="16"/>
  <c r="EJ16" i="16"/>
  <c r="EH16" i="16"/>
  <c r="EF16" i="16"/>
  <c r="ED16" i="16"/>
  <c r="EB16" i="16"/>
  <c r="DZ16" i="16"/>
  <c r="DX16" i="16"/>
  <c r="DV16" i="16"/>
  <c r="DT16" i="16"/>
  <c r="DR16" i="16"/>
  <c r="DP16" i="16"/>
  <c r="DN16" i="16"/>
  <c r="DE16" i="16"/>
  <c r="DC16" i="16"/>
  <c r="DA16" i="16"/>
  <c r="CY16" i="16"/>
  <c r="CW16" i="16"/>
  <c r="CU16" i="16"/>
  <c r="CS16" i="16"/>
  <c r="CQ16" i="16"/>
  <c r="CO16" i="16"/>
  <c r="CM16" i="16"/>
  <c r="CK16" i="16"/>
  <c r="CI16" i="16"/>
  <c r="CG16" i="16"/>
  <c r="CE16" i="16"/>
  <c r="CC16" i="16"/>
  <c r="CA16" i="16"/>
  <c r="BY16" i="16"/>
  <c r="BW16" i="16"/>
  <c r="BU16" i="16"/>
  <c r="BS16" i="16"/>
  <c r="BQ16" i="16"/>
  <c r="BO16" i="16"/>
  <c r="BM16" i="16"/>
  <c r="BK16" i="16"/>
  <c r="BB16" i="16"/>
  <c r="AZ16" i="16"/>
  <c r="AX16" i="16"/>
  <c r="AV16" i="16"/>
  <c r="AT16" i="16"/>
  <c r="AR16" i="16"/>
  <c r="AP16" i="16"/>
  <c r="AN16" i="16"/>
  <c r="AL16" i="16"/>
  <c r="AJ16" i="16"/>
  <c r="AH16" i="16"/>
  <c r="AF16" i="16"/>
  <c r="AD16" i="16"/>
  <c r="AB16" i="16"/>
  <c r="Z16" i="16"/>
  <c r="X16" i="16"/>
  <c r="V16" i="16"/>
  <c r="T16" i="16"/>
  <c r="R16" i="16"/>
  <c r="P16" i="16"/>
  <c r="N16" i="16"/>
  <c r="L16" i="16"/>
  <c r="J16" i="16"/>
  <c r="H16" i="16"/>
  <c r="DM68" i="16"/>
  <c r="BJ68" i="16"/>
  <c r="FU26" i="16"/>
  <c r="FR26" i="16"/>
  <c r="FF26" i="16"/>
  <c r="FD26" i="16"/>
  <c r="FB26" i="16"/>
  <c r="EX26" i="16"/>
  <c r="EV26" i="16"/>
  <c r="ET26" i="16"/>
  <c r="EP26" i="16"/>
  <c r="EN26" i="16"/>
  <c r="EL26" i="16"/>
  <c r="EH26" i="16"/>
  <c r="EF26" i="16"/>
  <c r="ED26" i="16"/>
  <c r="DZ26" i="16"/>
  <c r="DX26" i="16"/>
  <c r="DV26" i="16"/>
  <c r="DR26" i="16"/>
  <c r="DP26" i="16"/>
  <c r="DN26" i="16"/>
  <c r="DC26" i="16"/>
  <c r="DA26" i="16"/>
  <c r="CY26" i="16"/>
  <c r="CU26" i="16"/>
  <c r="CS26" i="16"/>
  <c r="CQ26" i="16"/>
  <c r="CM26" i="16"/>
  <c r="CK26" i="16"/>
  <c r="CI26" i="16"/>
  <c r="CE26" i="16"/>
  <c r="CC26" i="16"/>
  <c r="CA26" i="16"/>
  <c r="BW26" i="16"/>
  <c r="BU26" i="16"/>
  <c r="BS26" i="16"/>
  <c r="BO26" i="16"/>
  <c r="BM26" i="16"/>
  <c r="BK26" i="16"/>
  <c r="AZ26" i="16"/>
  <c r="AX26" i="16"/>
  <c r="AV26" i="16"/>
  <c r="AR26" i="16"/>
  <c r="AP26" i="16"/>
  <c r="AN26" i="16"/>
  <c r="AJ26" i="16"/>
  <c r="AH26" i="16"/>
  <c r="AF26" i="16"/>
  <c r="AB26" i="16"/>
  <c r="Z26" i="16"/>
  <c r="X26" i="16"/>
  <c r="T26" i="16"/>
  <c r="R26" i="16"/>
  <c r="P26" i="16"/>
  <c r="L26" i="16"/>
  <c r="J26" i="16"/>
  <c r="H26" i="16"/>
  <c r="FU14" i="16"/>
  <c r="FR14" i="16"/>
  <c r="FH14" i="16"/>
  <c r="FF14" i="16"/>
  <c r="FD14" i="16"/>
  <c r="FB14" i="16"/>
  <c r="EZ14" i="16"/>
  <c r="EX14" i="16"/>
  <c r="EV14" i="16"/>
  <c r="ET14" i="16"/>
  <c r="ER14" i="16"/>
  <c r="EP14" i="16"/>
  <c r="EN14" i="16"/>
  <c r="EL14" i="16"/>
  <c r="EJ14" i="16"/>
  <c r="EH14" i="16"/>
  <c r="EF14" i="16"/>
  <c r="ED14" i="16"/>
  <c r="EB14" i="16"/>
  <c r="DZ14" i="16"/>
  <c r="DX14" i="16"/>
  <c r="DV14" i="16"/>
  <c r="DT14" i="16"/>
  <c r="DR14" i="16"/>
  <c r="DP14" i="16"/>
  <c r="DN14" i="16"/>
  <c r="DE14" i="16"/>
  <c r="DC14" i="16"/>
  <c r="DA14" i="16"/>
  <c r="CY14" i="16"/>
  <c r="CW14" i="16"/>
  <c r="CU14" i="16"/>
  <c r="CS14" i="16"/>
  <c r="CQ14" i="16"/>
  <c r="CO14" i="16"/>
  <c r="CM14" i="16"/>
  <c r="CK14" i="16"/>
  <c r="CI14" i="16"/>
  <c r="CG14" i="16"/>
  <c r="CE14" i="16"/>
  <c r="CC14" i="16"/>
  <c r="CA14" i="16"/>
  <c r="BY14" i="16"/>
  <c r="BW14" i="16"/>
  <c r="BU14" i="16"/>
  <c r="BS14" i="16"/>
  <c r="BQ14" i="16"/>
  <c r="BO14" i="16"/>
  <c r="BM14" i="16"/>
  <c r="BK14" i="16"/>
  <c r="BB14" i="16"/>
  <c r="AZ14" i="16"/>
  <c r="AX14" i="16"/>
  <c r="AV14" i="16"/>
  <c r="AT14" i="16"/>
  <c r="AR14" i="16"/>
  <c r="AP14" i="16"/>
  <c r="AN14" i="16"/>
  <c r="AL14" i="16"/>
  <c r="AJ14" i="16"/>
  <c r="AH14" i="16"/>
  <c r="AF14" i="16"/>
  <c r="AD14" i="16"/>
  <c r="AB14" i="16"/>
  <c r="Z14" i="16"/>
  <c r="X14" i="16"/>
  <c r="V14" i="16"/>
  <c r="T14" i="16"/>
  <c r="R14" i="16"/>
  <c r="P14" i="16"/>
  <c r="N14" i="16"/>
  <c r="L14" i="16"/>
  <c r="J14" i="16"/>
  <c r="H14" i="16"/>
  <c r="FE1" i="16"/>
  <c r="DB1" i="16"/>
  <c r="FU19" i="15"/>
  <c r="FR19" i="15"/>
  <c r="FH19" i="15"/>
  <c r="FF19" i="15"/>
  <c r="FD19" i="15"/>
  <c r="FB19" i="15"/>
  <c r="EZ19" i="15"/>
  <c r="EX19" i="15"/>
  <c r="EV19" i="15"/>
  <c r="ET19" i="15"/>
  <c r="ER19" i="15"/>
  <c r="EP19" i="15"/>
  <c r="EN19" i="15"/>
  <c r="EL19" i="15"/>
  <c r="EJ19" i="15"/>
  <c r="EH19" i="15"/>
  <c r="EF19" i="15"/>
  <c r="ED19" i="15"/>
  <c r="EB19" i="15"/>
  <c r="DZ19" i="15"/>
  <c r="DX19" i="15"/>
  <c r="DV19" i="15"/>
  <c r="DT19" i="15"/>
  <c r="DR19" i="15"/>
  <c r="DP19" i="15"/>
  <c r="DN19" i="15"/>
  <c r="DE19" i="15"/>
  <c r="DC19" i="15"/>
  <c r="DA19" i="15"/>
  <c r="CY19" i="15"/>
  <c r="CW19" i="15"/>
  <c r="CU19" i="15"/>
  <c r="CS19" i="15"/>
  <c r="CQ19" i="15"/>
  <c r="CO19" i="15"/>
  <c r="CM19" i="15"/>
  <c r="CK19" i="15"/>
  <c r="CI19" i="15"/>
  <c r="CG19" i="15"/>
  <c r="CE19" i="15"/>
  <c r="CC19" i="15"/>
  <c r="CA19" i="15"/>
  <c r="BY19" i="15"/>
  <c r="BW19" i="15"/>
  <c r="BU19" i="15"/>
  <c r="BS19" i="15"/>
  <c r="BQ19" i="15"/>
  <c r="BO19" i="15"/>
  <c r="BM19" i="15"/>
  <c r="BK19" i="15"/>
  <c r="BB19" i="15"/>
  <c r="AZ19" i="15"/>
  <c r="AX19" i="15"/>
  <c r="AV19" i="15"/>
  <c r="AT19" i="15"/>
  <c r="AR19" i="15"/>
  <c r="AP19" i="15"/>
  <c r="AN19" i="15"/>
  <c r="AL19" i="15"/>
  <c r="AJ19" i="15"/>
  <c r="AH19" i="15"/>
  <c r="AF19" i="15"/>
  <c r="AD19" i="15"/>
  <c r="AB19" i="15"/>
  <c r="Z19" i="15"/>
  <c r="X19" i="15"/>
  <c r="V19" i="15"/>
  <c r="T19" i="15"/>
  <c r="R19" i="15"/>
  <c r="P19" i="15"/>
  <c r="N19" i="15"/>
  <c r="L19" i="15"/>
  <c r="J19" i="15"/>
  <c r="H19" i="15"/>
  <c r="FU18" i="15"/>
  <c r="FR18" i="15"/>
  <c r="FH18" i="15"/>
  <c r="FF18" i="15"/>
  <c r="FD18" i="15"/>
  <c r="FB18" i="15"/>
  <c r="EZ18" i="15"/>
  <c r="EX18" i="15"/>
  <c r="EV18" i="15"/>
  <c r="ET18" i="15"/>
  <c r="ER18" i="15"/>
  <c r="EP18" i="15"/>
  <c r="EN18" i="15"/>
  <c r="EL18" i="15"/>
  <c r="EJ18" i="15"/>
  <c r="EH18" i="15"/>
  <c r="EF18" i="15"/>
  <c r="ED18" i="15"/>
  <c r="EB18" i="15"/>
  <c r="DZ18" i="15"/>
  <c r="DX18" i="15"/>
  <c r="DV18" i="15"/>
  <c r="DT18" i="15"/>
  <c r="DR18" i="15"/>
  <c r="DP18" i="15"/>
  <c r="DN18" i="15"/>
  <c r="DE18" i="15"/>
  <c r="DC18" i="15"/>
  <c r="DA18" i="15"/>
  <c r="CY18" i="15"/>
  <c r="CW18" i="15"/>
  <c r="CU18" i="15"/>
  <c r="CS18" i="15"/>
  <c r="CQ18" i="15"/>
  <c r="CO18" i="15"/>
  <c r="CM18" i="15"/>
  <c r="CK18" i="15"/>
  <c r="CI18" i="15"/>
  <c r="CG18" i="15"/>
  <c r="CE18" i="15"/>
  <c r="CC18" i="15"/>
  <c r="CA18" i="15"/>
  <c r="BY18" i="15"/>
  <c r="BW18" i="15"/>
  <c r="BU18" i="15"/>
  <c r="BS18" i="15"/>
  <c r="BQ18" i="15"/>
  <c r="BO18" i="15"/>
  <c r="BM18" i="15"/>
  <c r="BK18" i="15"/>
  <c r="BB18" i="15"/>
  <c r="AZ18" i="15"/>
  <c r="AX18" i="15"/>
  <c r="AV18" i="15"/>
  <c r="AT18" i="15"/>
  <c r="AR18" i="15"/>
  <c r="AP18" i="15"/>
  <c r="AN18" i="15"/>
  <c r="AL18" i="15"/>
  <c r="AJ18" i="15"/>
  <c r="AH18" i="15"/>
  <c r="AF18" i="15"/>
  <c r="AD18" i="15"/>
  <c r="AB18" i="15"/>
  <c r="Z18" i="15"/>
  <c r="X18" i="15"/>
  <c r="V18" i="15"/>
  <c r="T18" i="15"/>
  <c r="R18" i="15"/>
  <c r="P18" i="15"/>
  <c r="N18" i="15"/>
  <c r="L18" i="15"/>
  <c r="J18" i="15"/>
  <c r="H18" i="15"/>
  <c r="FU17" i="15"/>
  <c r="FR17" i="15"/>
  <c r="FH17" i="15"/>
  <c r="FF17" i="15"/>
  <c r="FD17" i="15"/>
  <c r="FB17" i="15"/>
  <c r="EZ17" i="15"/>
  <c r="EX17" i="15"/>
  <c r="EV17" i="15"/>
  <c r="ET17" i="15"/>
  <c r="ER17" i="15"/>
  <c r="EP17" i="15"/>
  <c r="EN17" i="15"/>
  <c r="EL17" i="15"/>
  <c r="EJ17" i="15"/>
  <c r="EH17" i="15"/>
  <c r="EF17" i="15"/>
  <c r="ED17" i="15"/>
  <c r="EB17" i="15"/>
  <c r="DZ17" i="15"/>
  <c r="DX17" i="15"/>
  <c r="DV17" i="15"/>
  <c r="DT17" i="15"/>
  <c r="DR17" i="15"/>
  <c r="DP17" i="15"/>
  <c r="DN17" i="15"/>
  <c r="DE17" i="15"/>
  <c r="DC17" i="15"/>
  <c r="DA17" i="15"/>
  <c r="CY17" i="15"/>
  <c r="CW17" i="15"/>
  <c r="CU17" i="15"/>
  <c r="CS17" i="15"/>
  <c r="CQ17" i="15"/>
  <c r="CO17" i="15"/>
  <c r="CM17" i="15"/>
  <c r="CK17" i="15"/>
  <c r="CI17" i="15"/>
  <c r="CG17" i="15"/>
  <c r="CE17" i="15"/>
  <c r="CC17" i="15"/>
  <c r="CA17" i="15"/>
  <c r="BY17" i="15"/>
  <c r="BW17" i="15"/>
  <c r="BU17" i="15"/>
  <c r="BS17" i="15"/>
  <c r="BQ17" i="15"/>
  <c r="BO17" i="15"/>
  <c r="BM17" i="15"/>
  <c r="BK17" i="15"/>
  <c r="BB17" i="15"/>
  <c r="AZ17" i="15"/>
  <c r="AX17" i="15"/>
  <c r="AV17" i="15"/>
  <c r="AT17" i="15"/>
  <c r="AR17" i="15"/>
  <c r="AP17" i="15"/>
  <c r="AN17" i="15"/>
  <c r="AL17" i="15"/>
  <c r="AJ17" i="15"/>
  <c r="AH17" i="15"/>
  <c r="AF17" i="15"/>
  <c r="AD17" i="15"/>
  <c r="AB17" i="15"/>
  <c r="Z17" i="15"/>
  <c r="X17" i="15"/>
  <c r="V17" i="15"/>
  <c r="T17" i="15"/>
  <c r="R17" i="15"/>
  <c r="P17" i="15"/>
  <c r="N17" i="15"/>
  <c r="L17" i="15"/>
  <c r="J17" i="15"/>
  <c r="H17" i="15"/>
  <c r="FU16" i="15"/>
  <c r="FR16" i="15"/>
  <c r="FH16" i="15"/>
  <c r="FF16" i="15"/>
  <c r="FD16" i="15"/>
  <c r="FB16" i="15"/>
  <c r="EZ16" i="15"/>
  <c r="EX16" i="15"/>
  <c r="EV16" i="15"/>
  <c r="ET16" i="15"/>
  <c r="ER16" i="15"/>
  <c r="EP16" i="15"/>
  <c r="EN16" i="15"/>
  <c r="EL16" i="15"/>
  <c r="EJ16" i="15"/>
  <c r="EH16" i="15"/>
  <c r="EF16" i="15"/>
  <c r="ED16" i="15"/>
  <c r="EB16" i="15"/>
  <c r="DZ16" i="15"/>
  <c r="DX16" i="15"/>
  <c r="DV16" i="15"/>
  <c r="DT16" i="15"/>
  <c r="DR16" i="15"/>
  <c r="DP16" i="15"/>
  <c r="DN16" i="15"/>
  <c r="DE16" i="15"/>
  <c r="DC16" i="15"/>
  <c r="DA16" i="15"/>
  <c r="CY16" i="15"/>
  <c r="CW16" i="15"/>
  <c r="CU16" i="15"/>
  <c r="CS16" i="15"/>
  <c r="CQ16" i="15"/>
  <c r="CO16" i="15"/>
  <c r="CM16" i="15"/>
  <c r="CK16" i="15"/>
  <c r="CI16" i="15"/>
  <c r="CG16" i="15"/>
  <c r="CE16" i="15"/>
  <c r="CC16" i="15"/>
  <c r="CA16" i="15"/>
  <c r="BY16" i="15"/>
  <c r="BW16" i="15"/>
  <c r="BU16" i="15"/>
  <c r="BS16" i="15"/>
  <c r="BQ16" i="15"/>
  <c r="BO16" i="15"/>
  <c r="BM16" i="15"/>
  <c r="BK16" i="15"/>
  <c r="BB16" i="15"/>
  <c r="AZ16" i="15"/>
  <c r="AX16" i="15"/>
  <c r="AV16" i="15"/>
  <c r="AT16" i="15"/>
  <c r="AR16" i="15"/>
  <c r="AP16" i="15"/>
  <c r="AN16" i="15"/>
  <c r="AL16" i="15"/>
  <c r="AJ16" i="15"/>
  <c r="AH16" i="15"/>
  <c r="AF16" i="15"/>
  <c r="AD16" i="15"/>
  <c r="AB16" i="15"/>
  <c r="Z16" i="15"/>
  <c r="X16" i="15"/>
  <c r="V16" i="15"/>
  <c r="T16" i="15"/>
  <c r="R16" i="15"/>
  <c r="P16" i="15"/>
  <c r="N16" i="15"/>
  <c r="L16" i="15"/>
  <c r="J16" i="15"/>
  <c r="H16" i="15"/>
  <c r="DM68" i="15"/>
  <c r="BJ68" i="15"/>
  <c r="FU26" i="15"/>
  <c r="FR26" i="15"/>
  <c r="FH26" i="15"/>
  <c r="FF26" i="15"/>
  <c r="FD26" i="15"/>
  <c r="FB26" i="15"/>
  <c r="EZ26" i="15"/>
  <c r="EX26" i="15"/>
  <c r="EV26" i="15"/>
  <c r="ET26" i="15"/>
  <c r="ER26" i="15"/>
  <c r="EP26" i="15"/>
  <c r="EN26" i="15"/>
  <c r="EL26" i="15"/>
  <c r="EJ26" i="15"/>
  <c r="EH26" i="15"/>
  <c r="EF26" i="15"/>
  <c r="ED26" i="15"/>
  <c r="EB26" i="15"/>
  <c r="DZ26" i="15"/>
  <c r="DX26" i="15"/>
  <c r="DV26" i="15"/>
  <c r="DT26" i="15"/>
  <c r="DR26" i="15"/>
  <c r="DP26" i="15"/>
  <c r="DN26" i="15"/>
  <c r="DE26" i="15"/>
  <c r="DC26" i="15"/>
  <c r="DA26" i="15"/>
  <c r="CY26" i="15"/>
  <c r="CW26" i="15"/>
  <c r="CU26" i="15"/>
  <c r="CS26" i="15"/>
  <c r="CQ26" i="15"/>
  <c r="CO26" i="15"/>
  <c r="CM26" i="15"/>
  <c r="CK26" i="15"/>
  <c r="CI26" i="15"/>
  <c r="CG26" i="15"/>
  <c r="CE26" i="15"/>
  <c r="CC26" i="15"/>
  <c r="CA26" i="15"/>
  <c r="BY26" i="15"/>
  <c r="BW26" i="15"/>
  <c r="BU26" i="15"/>
  <c r="BS26" i="15"/>
  <c r="BQ26" i="15"/>
  <c r="BO26" i="15"/>
  <c r="BM26" i="15"/>
  <c r="BK26" i="15"/>
  <c r="BB26" i="15"/>
  <c r="AZ26" i="15"/>
  <c r="AX26" i="15"/>
  <c r="AV26" i="15"/>
  <c r="AT26" i="15"/>
  <c r="AR26" i="15"/>
  <c r="AP26" i="15"/>
  <c r="AN26" i="15"/>
  <c r="AL26" i="15"/>
  <c r="AJ26" i="15"/>
  <c r="AH26" i="15"/>
  <c r="AF26" i="15"/>
  <c r="AD26" i="15"/>
  <c r="AB26" i="15"/>
  <c r="Z26" i="15"/>
  <c r="X26" i="15"/>
  <c r="V26" i="15"/>
  <c r="T26" i="15"/>
  <c r="R26" i="15"/>
  <c r="P26" i="15"/>
  <c r="N26" i="15"/>
  <c r="L26" i="15"/>
  <c r="J26" i="15"/>
  <c r="H26" i="15"/>
  <c r="FU14" i="15"/>
  <c r="FR14" i="15"/>
  <c r="FH14" i="15"/>
  <c r="FF14" i="15"/>
  <c r="FD14" i="15"/>
  <c r="FB14" i="15"/>
  <c r="EZ14" i="15"/>
  <c r="EX14" i="15"/>
  <c r="EV14" i="15"/>
  <c r="ET14" i="15"/>
  <c r="ER14" i="15"/>
  <c r="EP14" i="15"/>
  <c r="EN14" i="15"/>
  <c r="EL14" i="15"/>
  <c r="EJ14" i="15"/>
  <c r="EH14" i="15"/>
  <c r="EF14" i="15"/>
  <c r="ED14" i="15"/>
  <c r="EB14" i="15"/>
  <c r="DZ14" i="15"/>
  <c r="DX14" i="15"/>
  <c r="DV14" i="15"/>
  <c r="DT14" i="15"/>
  <c r="DR14" i="15"/>
  <c r="DP14" i="15"/>
  <c r="DN14" i="15"/>
  <c r="DE14" i="15"/>
  <c r="DC14" i="15"/>
  <c r="DA14" i="15"/>
  <c r="CY14" i="15"/>
  <c r="CW14" i="15"/>
  <c r="CU14" i="15"/>
  <c r="CS14" i="15"/>
  <c r="CQ14" i="15"/>
  <c r="CO14" i="15"/>
  <c r="CM14" i="15"/>
  <c r="CK14" i="15"/>
  <c r="CI14" i="15"/>
  <c r="CG14" i="15"/>
  <c r="CE14" i="15"/>
  <c r="CC14" i="15"/>
  <c r="CA14" i="15"/>
  <c r="BY14" i="15"/>
  <c r="BW14" i="15"/>
  <c r="BU14" i="15"/>
  <c r="BS14" i="15"/>
  <c r="BQ14" i="15"/>
  <c r="BO14" i="15"/>
  <c r="BM14" i="15"/>
  <c r="BK14" i="15"/>
  <c r="BB14" i="15"/>
  <c r="AZ14" i="15"/>
  <c r="AX14" i="15"/>
  <c r="AV14" i="15"/>
  <c r="AT14" i="15"/>
  <c r="AR14" i="15"/>
  <c r="AP14" i="15"/>
  <c r="AN14" i="15"/>
  <c r="AL14" i="15"/>
  <c r="AJ14" i="15"/>
  <c r="AH14" i="15"/>
  <c r="AF14" i="15"/>
  <c r="AD14" i="15"/>
  <c r="AB14" i="15"/>
  <c r="Z14" i="15"/>
  <c r="X14" i="15"/>
  <c r="V14" i="15"/>
  <c r="T14" i="15"/>
  <c r="R14" i="15"/>
  <c r="P14" i="15"/>
  <c r="N14" i="15"/>
  <c r="L14" i="15"/>
  <c r="J14" i="15"/>
  <c r="H14" i="15"/>
  <c r="FE1" i="15"/>
  <c r="DB1" i="15"/>
  <c r="FU22" i="14"/>
  <c r="FR22" i="14"/>
  <c r="FH22" i="14"/>
  <c r="FF22" i="14"/>
  <c r="FD22" i="14"/>
  <c r="FB22" i="14"/>
  <c r="EZ22" i="14"/>
  <c r="EX22" i="14"/>
  <c r="EV22" i="14"/>
  <c r="ET22" i="14"/>
  <c r="ER22" i="14"/>
  <c r="EP22" i="14"/>
  <c r="EN22" i="14"/>
  <c r="EL22" i="14"/>
  <c r="EJ22" i="14"/>
  <c r="EH22" i="14"/>
  <c r="EF22" i="14"/>
  <c r="ED22" i="14"/>
  <c r="EB22" i="14"/>
  <c r="DZ22" i="14"/>
  <c r="DX22" i="14"/>
  <c r="DV22" i="14"/>
  <c r="DT22" i="14"/>
  <c r="DR22" i="14"/>
  <c r="DP22" i="14"/>
  <c r="DN22" i="14"/>
  <c r="DE22" i="14"/>
  <c r="DC22" i="14"/>
  <c r="DA22" i="14"/>
  <c r="CY22" i="14"/>
  <c r="CW22" i="14"/>
  <c r="CU22" i="14"/>
  <c r="CS22" i="14"/>
  <c r="CQ22" i="14"/>
  <c r="CO22" i="14"/>
  <c r="CM22" i="14"/>
  <c r="CK22" i="14"/>
  <c r="CI22" i="14"/>
  <c r="CG22" i="14"/>
  <c r="CE22" i="14"/>
  <c r="CC22" i="14"/>
  <c r="CA22" i="14"/>
  <c r="BY22" i="14"/>
  <c r="BW22" i="14"/>
  <c r="BU22" i="14"/>
  <c r="BS22" i="14"/>
  <c r="BQ22" i="14"/>
  <c r="BO22" i="14"/>
  <c r="BM22" i="14"/>
  <c r="BK22" i="14"/>
  <c r="BB22" i="14"/>
  <c r="AZ22" i="14"/>
  <c r="AX22" i="14"/>
  <c r="AV22" i="14"/>
  <c r="AT22" i="14"/>
  <c r="AR22" i="14"/>
  <c r="AP22" i="14"/>
  <c r="AN22" i="14"/>
  <c r="AL22" i="14"/>
  <c r="AJ22" i="14"/>
  <c r="AH22" i="14"/>
  <c r="AF22" i="14"/>
  <c r="AD22" i="14"/>
  <c r="AB22" i="14"/>
  <c r="Z22" i="14"/>
  <c r="X22" i="14"/>
  <c r="V22" i="14"/>
  <c r="T22" i="14"/>
  <c r="R22" i="14"/>
  <c r="P22" i="14"/>
  <c r="N22" i="14"/>
  <c r="L22" i="14"/>
  <c r="J22" i="14"/>
  <c r="H22" i="14"/>
  <c r="FU21" i="14"/>
  <c r="FR21" i="14"/>
  <c r="FH21" i="14"/>
  <c r="FF21" i="14"/>
  <c r="FD21" i="14"/>
  <c r="FB21" i="14"/>
  <c r="EZ21" i="14"/>
  <c r="EX21" i="14"/>
  <c r="EV21" i="14"/>
  <c r="ET21" i="14"/>
  <c r="ER21" i="14"/>
  <c r="EP21" i="14"/>
  <c r="EN21" i="14"/>
  <c r="EL21" i="14"/>
  <c r="EJ21" i="14"/>
  <c r="EH21" i="14"/>
  <c r="EF21" i="14"/>
  <c r="ED21" i="14"/>
  <c r="EB21" i="14"/>
  <c r="DZ21" i="14"/>
  <c r="DX21" i="14"/>
  <c r="DV21" i="14"/>
  <c r="DT21" i="14"/>
  <c r="DR21" i="14"/>
  <c r="DP21" i="14"/>
  <c r="DN21" i="14"/>
  <c r="DE21" i="14"/>
  <c r="DC21" i="14"/>
  <c r="DA21" i="14"/>
  <c r="CY21" i="14"/>
  <c r="CW21" i="14"/>
  <c r="CU21" i="14"/>
  <c r="CS21" i="14"/>
  <c r="CQ21" i="14"/>
  <c r="CO21" i="14"/>
  <c r="CM21" i="14"/>
  <c r="CK21" i="14"/>
  <c r="CI21" i="14"/>
  <c r="CG21" i="14"/>
  <c r="CE21" i="14"/>
  <c r="CC21" i="14"/>
  <c r="CA21" i="14"/>
  <c r="BY21" i="14"/>
  <c r="BW21" i="14"/>
  <c r="BU21" i="14"/>
  <c r="BS21" i="14"/>
  <c r="BQ21" i="14"/>
  <c r="BO21" i="14"/>
  <c r="BM21" i="14"/>
  <c r="BK21" i="14"/>
  <c r="BB21" i="14"/>
  <c r="AZ21" i="14"/>
  <c r="AX21" i="14"/>
  <c r="AV21" i="14"/>
  <c r="AT21" i="14"/>
  <c r="AR21" i="14"/>
  <c r="AP21" i="14"/>
  <c r="AN21" i="14"/>
  <c r="AL21" i="14"/>
  <c r="AJ21" i="14"/>
  <c r="AH21" i="14"/>
  <c r="AF21" i="14"/>
  <c r="AD21" i="14"/>
  <c r="AB21" i="14"/>
  <c r="Z21" i="14"/>
  <c r="X21" i="14"/>
  <c r="V21" i="14"/>
  <c r="T21" i="14"/>
  <c r="R21" i="14"/>
  <c r="P21" i="14"/>
  <c r="N21" i="14"/>
  <c r="L21" i="14"/>
  <c r="J21" i="14"/>
  <c r="H21" i="14"/>
  <c r="FU20" i="14"/>
  <c r="FR20" i="14"/>
  <c r="FH20" i="14"/>
  <c r="FF20" i="14"/>
  <c r="FD20" i="14"/>
  <c r="FB20" i="14"/>
  <c r="EZ20" i="14"/>
  <c r="EX20" i="14"/>
  <c r="EV20" i="14"/>
  <c r="ET20" i="14"/>
  <c r="ER20" i="14"/>
  <c r="EP20" i="14"/>
  <c r="EN20" i="14"/>
  <c r="EL20" i="14"/>
  <c r="EJ20" i="14"/>
  <c r="EH20" i="14"/>
  <c r="EF20" i="14"/>
  <c r="ED20" i="14"/>
  <c r="EB20" i="14"/>
  <c r="DZ20" i="14"/>
  <c r="DX20" i="14"/>
  <c r="DV20" i="14"/>
  <c r="DT20" i="14"/>
  <c r="DR20" i="14"/>
  <c r="DP20" i="14"/>
  <c r="DN20" i="14"/>
  <c r="DE20" i="14"/>
  <c r="DC20" i="14"/>
  <c r="DA20" i="14"/>
  <c r="CY20" i="14"/>
  <c r="CW20" i="14"/>
  <c r="CU20" i="14"/>
  <c r="CS20" i="14"/>
  <c r="CQ20" i="14"/>
  <c r="CO20" i="14"/>
  <c r="CM20" i="14"/>
  <c r="CK20" i="14"/>
  <c r="CI20" i="14"/>
  <c r="CG20" i="14"/>
  <c r="CE20" i="14"/>
  <c r="CC20" i="14"/>
  <c r="CA20" i="14"/>
  <c r="BY20" i="14"/>
  <c r="BW20" i="14"/>
  <c r="BU20" i="14"/>
  <c r="BS20" i="14"/>
  <c r="BQ20" i="14"/>
  <c r="BO20" i="14"/>
  <c r="BM20" i="14"/>
  <c r="BK20" i="14"/>
  <c r="BB20" i="14"/>
  <c r="AZ20" i="14"/>
  <c r="AX20" i="14"/>
  <c r="AV20" i="14"/>
  <c r="AT20" i="14"/>
  <c r="AR20" i="14"/>
  <c r="AP20" i="14"/>
  <c r="AN20" i="14"/>
  <c r="AL20" i="14"/>
  <c r="AJ20" i="14"/>
  <c r="AH20" i="14"/>
  <c r="AF20" i="14"/>
  <c r="AD20" i="14"/>
  <c r="AB20" i="14"/>
  <c r="Z20" i="14"/>
  <c r="X20" i="14"/>
  <c r="V20" i="14"/>
  <c r="T20" i="14"/>
  <c r="R20" i="14"/>
  <c r="P20" i="14"/>
  <c r="N20" i="14"/>
  <c r="L20" i="14"/>
  <c r="J20" i="14"/>
  <c r="H20" i="14"/>
  <c r="FU19" i="14"/>
  <c r="FR19" i="14"/>
  <c r="FH19" i="14"/>
  <c r="FF19" i="14"/>
  <c r="FD19" i="14"/>
  <c r="FB19" i="14"/>
  <c r="EZ19" i="14"/>
  <c r="EX19" i="14"/>
  <c r="EV19" i="14"/>
  <c r="ET19" i="14"/>
  <c r="ER19" i="14"/>
  <c r="EP19" i="14"/>
  <c r="EN19" i="14"/>
  <c r="EL19" i="14"/>
  <c r="EJ19" i="14"/>
  <c r="EH19" i="14"/>
  <c r="EF19" i="14"/>
  <c r="ED19" i="14"/>
  <c r="EB19" i="14"/>
  <c r="DZ19" i="14"/>
  <c r="DX19" i="14"/>
  <c r="DV19" i="14"/>
  <c r="DT19" i="14"/>
  <c r="DR19" i="14"/>
  <c r="DP19" i="14"/>
  <c r="DN19" i="14"/>
  <c r="DE19" i="14"/>
  <c r="DC19" i="14"/>
  <c r="DA19" i="14"/>
  <c r="CY19" i="14"/>
  <c r="CW19" i="14"/>
  <c r="CU19" i="14"/>
  <c r="CS19" i="14"/>
  <c r="CQ19" i="14"/>
  <c r="CO19" i="14"/>
  <c r="CM19" i="14"/>
  <c r="CK19" i="14"/>
  <c r="CI19" i="14"/>
  <c r="CG19" i="14"/>
  <c r="CE19" i="14"/>
  <c r="CC19" i="14"/>
  <c r="CA19" i="14"/>
  <c r="BY19" i="14"/>
  <c r="BW19" i="14"/>
  <c r="BU19" i="14"/>
  <c r="BS19" i="14"/>
  <c r="BQ19" i="14"/>
  <c r="BO19" i="14"/>
  <c r="BM19" i="14"/>
  <c r="BK19" i="14"/>
  <c r="BB19" i="14"/>
  <c r="AZ19" i="14"/>
  <c r="AX19" i="14"/>
  <c r="AV19" i="14"/>
  <c r="AT19" i="14"/>
  <c r="AR19" i="14"/>
  <c r="AP19" i="14"/>
  <c r="AN19" i="14"/>
  <c r="AL19" i="14"/>
  <c r="AJ19" i="14"/>
  <c r="AH19" i="14"/>
  <c r="AF19" i="14"/>
  <c r="AD19" i="14"/>
  <c r="AB19" i="14"/>
  <c r="Z19" i="14"/>
  <c r="X19" i="14"/>
  <c r="V19" i="14"/>
  <c r="T19" i="14"/>
  <c r="R19" i="14"/>
  <c r="P19" i="14"/>
  <c r="N19" i="14"/>
  <c r="L19" i="14"/>
  <c r="J19" i="14"/>
  <c r="H19" i="14"/>
  <c r="FU18" i="14"/>
  <c r="FR18" i="14"/>
  <c r="FH18" i="14"/>
  <c r="FF18" i="14"/>
  <c r="FD18" i="14"/>
  <c r="FB18" i="14"/>
  <c r="EZ18" i="14"/>
  <c r="EX18" i="14"/>
  <c r="EV18" i="14"/>
  <c r="ET18" i="14"/>
  <c r="ER18" i="14"/>
  <c r="EP18" i="14"/>
  <c r="EN18" i="14"/>
  <c r="EL18" i="14"/>
  <c r="EJ18" i="14"/>
  <c r="EH18" i="14"/>
  <c r="EF18" i="14"/>
  <c r="ED18" i="14"/>
  <c r="EB18" i="14"/>
  <c r="DZ18" i="14"/>
  <c r="DX18" i="14"/>
  <c r="DV18" i="14"/>
  <c r="DT18" i="14"/>
  <c r="DR18" i="14"/>
  <c r="DP18" i="14"/>
  <c r="DN18" i="14"/>
  <c r="DE18" i="14"/>
  <c r="DC18" i="14"/>
  <c r="DA18" i="14"/>
  <c r="CY18" i="14"/>
  <c r="CW18" i="14"/>
  <c r="CU18" i="14"/>
  <c r="CS18" i="14"/>
  <c r="CQ18" i="14"/>
  <c r="CO18" i="14"/>
  <c r="CM18" i="14"/>
  <c r="CK18" i="14"/>
  <c r="CI18" i="14"/>
  <c r="CG18" i="14"/>
  <c r="CE18" i="14"/>
  <c r="CC18" i="14"/>
  <c r="CA18" i="14"/>
  <c r="BY18" i="14"/>
  <c r="BW18" i="14"/>
  <c r="BU18" i="14"/>
  <c r="BS18" i="14"/>
  <c r="BQ18" i="14"/>
  <c r="BO18" i="14"/>
  <c r="BM18" i="14"/>
  <c r="BK18" i="14"/>
  <c r="BB18" i="14"/>
  <c r="AZ18" i="14"/>
  <c r="AX18" i="14"/>
  <c r="AV18" i="14"/>
  <c r="AT18" i="14"/>
  <c r="AR18" i="14"/>
  <c r="AP18" i="14"/>
  <c r="AN18" i="14"/>
  <c r="AL18" i="14"/>
  <c r="AJ18" i="14"/>
  <c r="AH18" i="14"/>
  <c r="AF18" i="14"/>
  <c r="AD18" i="14"/>
  <c r="AB18" i="14"/>
  <c r="Z18" i="14"/>
  <c r="X18" i="14"/>
  <c r="V18" i="14"/>
  <c r="T18" i="14"/>
  <c r="R18" i="14"/>
  <c r="P18" i="14"/>
  <c r="N18" i="14"/>
  <c r="L18" i="14"/>
  <c r="J18" i="14"/>
  <c r="H18" i="14"/>
  <c r="FH10" i="14"/>
  <c r="FF10" i="14"/>
  <c r="FD10" i="14"/>
  <c r="FB10" i="14"/>
  <c r="EZ10" i="14"/>
  <c r="EX10" i="14"/>
  <c r="EV10" i="14"/>
  <c r="ET10" i="14"/>
  <c r="ER10" i="14"/>
  <c r="EP10" i="14"/>
  <c r="EN10" i="14"/>
  <c r="EL10" i="14"/>
  <c r="EJ10" i="14"/>
  <c r="EH10" i="14"/>
  <c r="EF10" i="14"/>
  <c r="ED10" i="14"/>
  <c r="EB10" i="14"/>
  <c r="DZ10" i="14"/>
  <c r="DX10" i="14"/>
  <c r="DV10" i="14"/>
  <c r="DT10" i="14"/>
  <c r="DR10" i="14"/>
  <c r="DP10" i="14"/>
  <c r="DN10" i="14"/>
  <c r="DE10" i="14"/>
  <c r="DC10" i="14"/>
  <c r="DA10" i="14"/>
  <c r="CY10" i="14"/>
  <c r="CW10" i="14"/>
  <c r="CU10" i="14"/>
  <c r="CS10" i="14"/>
  <c r="CQ10" i="14"/>
  <c r="CO10" i="14"/>
  <c r="CM10" i="14"/>
  <c r="CK10" i="14"/>
  <c r="CI10" i="14"/>
  <c r="CG10" i="14"/>
  <c r="CE10" i="14"/>
  <c r="CC10" i="14"/>
  <c r="CA10" i="14"/>
  <c r="BY10" i="14"/>
  <c r="BW10" i="14"/>
  <c r="BU10" i="14"/>
  <c r="BS10" i="14"/>
  <c r="BQ10" i="14"/>
  <c r="BO10" i="14"/>
  <c r="BM10" i="14"/>
  <c r="BK10" i="14"/>
  <c r="BB10" i="14"/>
  <c r="AZ10" i="14"/>
  <c r="AX10" i="14"/>
  <c r="AV10" i="14"/>
  <c r="AT10" i="14"/>
  <c r="AR10" i="14"/>
  <c r="AP10" i="14"/>
  <c r="AN10" i="14"/>
  <c r="AL10" i="14"/>
  <c r="AJ10" i="14"/>
  <c r="AH10" i="14"/>
  <c r="AF10" i="14"/>
  <c r="AD10" i="14"/>
  <c r="AB10" i="14"/>
  <c r="Z10" i="14"/>
  <c r="X10" i="14"/>
  <c r="V10" i="14"/>
  <c r="T10" i="14"/>
  <c r="R10" i="14"/>
  <c r="P10" i="14"/>
  <c r="N10" i="14"/>
  <c r="L10" i="14"/>
  <c r="J10" i="14"/>
  <c r="H10" i="14"/>
  <c r="D10" i="14"/>
  <c r="FU17" i="14"/>
  <c r="FR17" i="14"/>
  <c r="FH17" i="14"/>
  <c r="FF17" i="14"/>
  <c r="FD17" i="14"/>
  <c r="FB17" i="14"/>
  <c r="EZ17" i="14"/>
  <c r="EX17" i="14"/>
  <c r="EV17" i="14"/>
  <c r="ET17" i="14"/>
  <c r="ER17" i="14"/>
  <c r="EP17" i="14"/>
  <c r="EN17" i="14"/>
  <c r="EL17" i="14"/>
  <c r="EJ17" i="14"/>
  <c r="EH17" i="14"/>
  <c r="EF17" i="14"/>
  <c r="ED17" i="14"/>
  <c r="EB17" i="14"/>
  <c r="DZ17" i="14"/>
  <c r="DX17" i="14"/>
  <c r="DV17" i="14"/>
  <c r="DT17" i="14"/>
  <c r="DR17" i="14"/>
  <c r="DP17" i="14"/>
  <c r="DN17" i="14"/>
  <c r="DE17" i="14"/>
  <c r="DC17" i="14"/>
  <c r="DA17" i="14"/>
  <c r="CY17" i="14"/>
  <c r="CW17" i="14"/>
  <c r="CU17" i="14"/>
  <c r="CS17" i="14"/>
  <c r="CQ17" i="14"/>
  <c r="CO17" i="14"/>
  <c r="CM17" i="14"/>
  <c r="CK17" i="14"/>
  <c r="CI17" i="14"/>
  <c r="CG17" i="14"/>
  <c r="CE17" i="14"/>
  <c r="CC17" i="14"/>
  <c r="CA17" i="14"/>
  <c r="BY17" i="14"/>
  <c r="BW17" i="14"/>
  <c r="BU17" i="14"/>
  <c r="BS17" i="14"/>
  <c r="BQ17" i="14"/>
  <c r="BO17" i="14"/>
  <c r="BM17" i="14"/>
  <c r="BK17" i="14"/>
  <c r="BB17" i="14"/>
  <c r="AZ17" i="14"/>
  <c r="AX17" i="14"/>
  <c r="AV17" i="14"/>
  <c r="AT17" i="14"/>
  <c r="AR17" i="14"/>
  <c r="AP17" i="14"/>
  <c r="AN17" i="14"/>
  <c r="AL17" i="14"/>
  <c r="AJ17" i="14"/>
  <c r="AH17" i="14"/>
  <c r="AF17" i="14"/>
  <c r="AD17" i="14"/>
  <c r="AB17" i="14"/>
  <c r="Z17" i="14"/>
  <c r="X17" i="14"/>
  <c r="V17" i="14"/>
  <c r="T17" i="14"/>
  <c r="R17" i="14"/>
  <c r="P17" i="14"/>
  <c r="N17" i="14"/>
  <c r="L17" i="14"/>
  <c r="J17" i="14"/>
  <c r="H17" i="14"/>
  <c r="FU16" i="14"/>
  <c r="FR16" i="14"/>
  <c r="FH16" i="14"/>
  <c r="FF16" i="14"/>
  <c r="FD16" i="14"/>
  <c r="FB16" i="14"/>
  <c r="EZ16" i="14"/>
  <c r="EX16" i="14"/>
  <c r="EV16" i="14"/>
  <c r="ET16" i="14"/>
  <c r="ER16" i="14"/>
  <c r="EP16" i="14"/>
  <c r="EN16" i="14"/>
  <c r="EL16" i="14"/>
  <c r="EJ16" i="14"/>
  <c r="EH16" i="14"/>
  <c r="EF16" i="14"/>
  <c r="ED16" i="14"/>
  <c r="EB16" i="14"/>
  <c r="DZ16" i="14"/>
  <c r="DX16" i="14"/>
  <c r="DV16" i="14"/>
  <c r="DT16" i="14"/>
  <c r="DR16" i="14"/>
  <c r="DP16" i="14"/>
  <c r="DN16" i="14"/>
  <c r="DE16" i="14"/>
  <c r="DC16" i="14"/>
  <c r="DA16" i="14"/>
  <c r="CY16" i="14"/>
  <c r="CW16" i="14"/>
  <c r="CU16" i="14"/>
  <c r="CS16" i="14"/>
  <c r="CQ16" i="14"/>
  <c r="CO16" i="14"/>
  <c r="CM16" i="14"/>
  <c r="CK16" i="14"/>
  <c r="CI16" i="14"/>
  <c r="CG16" i="14"/>
  <c r="CE16" i="14"/>
  <c r="CC16" i="14"/>
  <c r="CA16" i="14"/>
  <c r="BY16" i="14"/>
  <c r="BW16" i="14"/>
  <c r="BU16" i="14"/>
  <c r="BS16" i="14"/>
  <c r="BQ16" i="14"/>
  <c r="BO16" i="14"/>
  <c r="BM16" i="14"/>
  <c r="BK16" i="14"/>
  <c r="BB16" i="14"/>
  <c r="AZ16" i="14"/>
  <c r="AX16" i="14"/>
  <c r="AV16" i="14"/>
  <c r="AT16" i="14"/>
  <c r="AR16" i="14"/>
  <c r="AP16" i="14"/>
  <c r="AN16" i="14"/>
  <c r="AL16" i="14"/>
  <c r="AJ16" i="14"/>
  <c r="AH16" i="14"/>
  <c r="AF16" i="14"/>
  <c r="AD16" i="14"/>
  <c r="AB16" i="14"/>
  <c r="Z16" i="14"/>
  <c r="X16" i="14"/>
  <c r="V16" i="14"/>
  <c r="T16" i="14"/>
  <c r="R16" i="14"/>
  <c r="P16" i="14"/>
  <c r="N16" i="14"/>
  <c r="L16" i="14"/>
  <c r="J16" i="14"/>
  <c r="H16" i="14"/>
  <c r="DM68" i="14"/>
  <c r="BJ68" i="14"/>
  <c r="FU26" i="14"/>
  <c r="FR26" i="14"/>
  <c r="FH26" i="14"/>
  <c r="FF26" i="14"/>
  <c r="FD26" i="14"/>
  <c r="FB26" i="14"/>
  <c r="EZ26" i="14"/>
  <c r="EX26" i="14"/>
  <c r="EV26" i="14"/>
  <c r="ET26" i="14"/>
  <c r="ER26" i="14"/>
  <c r="EP26" i="14"/>
  <c r="EN26" i="14"/>
  <c r="EL26" i="14"/>
  <c r="EJ26" i="14"/>
  <c r="EH26" i="14"/>
  <c r="EF26" i="14"/>
  <c r="ED26" i="14"/>
  <c r="EB26" i="14"/>
  <c r="DZ26" i="14"/>
  <c r="DX26" i="14"/>
  <c r="DV26" i="14"/>
  <c r="DT26" i="14"/>
  <c r="DR26" i="14"/>
  <c r="DP26" i="14"/>
  <c r="DN26" i="14"/>
  <c r="DE26" i="14"/>
  <c r="DC26" i="14"/>
  <c r="DA26" i="14"/>
  <c r="CY26" i="14"/>
  <c r="CW26" i="14"/>
  <c r="CU26" i="14"/>
  <c r="CS26" i="14"/>
  <c r="CQ26" i="14"/>
  <c r="CO26" i="14"/>
  <c r="CM26" i="14"/>
  <c r="CK26" i="14"/>
  <c r="CI26" i="14"/>
  <c r="CG26" i="14"/>
  <c r="CE26" i="14"/>
  <c r="CC26" i="14"/>
  <c r="CA26" i="14"/>
  <c r="BY26" i="14"/>
  <c r="BW26" i="14"/>
  <c r="BU26" i="14"/>
  <c r="BS26" i="14"/>
  <c r="BQ26" i="14"/>
  <c r="BO26" i="14"/>
  <c r="BM26" i="14"/>
  <c r="BK26" i="14"/>
  <c r="BB26" i="14"/>
  <c r="AZ26" i="14"/>
  <c r="AX26" i="14"/>
  <c r="AV26" i="14"/>
  <c r="AT26" i="14"/>
  <c r="AR26" i="14"/>
  <c r="AP26" i="14"/>
  <c r="AN26" i="14"/>
  <c r="AL26" i="14"/>
  <c r="AJ26" i="14"/>
  <c r="AH26" i="14"/>
  <c r="AF26" i="14"/>
  <c r="AD26" i="14"/>
  <c r="AB26" i="14"/>
  <c r="Z26" i="14"/>
  <c r="X26" i="14"/>
  <c r="V26" i="14"/>
  <c r="T26" i="14"/>
  <c r="R26" i="14"/>
  <c r="P26" i="14"/>
  <c r="N26" i="14"/>
  <c r="L26" i="14"/>
  <c r="J26" i="14"/>
  <c r="H26" i="14"/>
  <c r="FU14" i="14"/>
  <c r="FR14" i="14"/>
  <c r="FH14" i="14"/>
  <c r="FF14" i="14"/>
  <c r="FD14" i="14"/>
  <c r="FB14" i="14"/>
  <c r="EZ14" i="14"/>
  <c r="EX14" i="14"/>
  <c r="EV14" i="14"/>
  <c r="ET14" i="14"/>
  <c r="ER14" i="14"/>
  <c r="EP14" i="14"/>
  <c r="EN14" i="14"/>
  <c r="EL14" i="14"/>
  <c r="EJ14" i="14"/>
  <c r="EH14" i="14"/>
  <c r="EF14" i="14"/>
  <c r="ED14" i="14"/>
  <c r="EB14" i="14"/>
  <c r="DZ14" i="14"/>
  <c r="DX14" i="14"/>
  <c r="DV14" i="14"/>
  <c r="DT14" i="14"/>
  <c r="DR14" i="14"/>
  <c r="DP14" i="14"/>
  <c r="DN14" i="14"/>
  <c r="DE14" i="14"/>
  <c r="DC14" i="14"/>
  <c r="DA14" i="14"/>
  <c r="CY14" i="14"/>
  <c r="CW14" i="14"/>
  <c r="CU14" i="14"/>
  <c r="CS14" i="14"/>
  <c r="CQ14" i="14"/>
  <c r="CO14" i="14"/>
  <c r="CM14" i="14"/>
  <c r="CK14" i="14"/>
  <c r="CI14" i="14"/>
  <c r="CG14" i="14"/>
  <c r="CE14" i="14"/>
  <c r="CC14" i="14"/>
  <c r="CA14" i="14"/>
  <c r="BY14" i="14"/>
  <c r="BW14" i="14"/>
  <c r="BU14" i="14"/>
  <c r="BS14" i="14"/>
  <c r="BQ14" i="14"/>
  <c r="BO14" i="14"/>
  <c r="BM14" i="14"/>
  <c r="BK14" i="14"/>
  <c r="BB14" i="14"/>
  <c r="AZ14" i="14"/>
  <c r="AX14" i="14"/>
  <c r="AV14" i="14"/>
  <c r="AT14" i="14"/>
  <c r="AR14" i="14"/>
  <c r="AP14" i="14"/>
  <c r="AN14" i="14"/>
  <c r="AL14" i="14"/>
  <c r="AJ14" i="14"/>
  <c r="AH14" i="14"/>
  <c r="AF14" i="14"/>
  <c r="AD14" i="14"/>
  <c r="AB14" i="14"/>
  <c r="Z14" i="14"/>
  <c r="X14" i="14"/>
  <c r="V14" i="14"/>
  <c r="T14" i="14"/>
  <c r="R14" i="14"/>
  <c r="P14" i="14"/>
  <c r="N14" i="14"/>
  <c r="L14" i="14"/>
  <c r="J14" i="14"/>
  <c r="H14" i="14"/>
  <c r="FE1" i="14"/>
  <c r="DB1" i="14"/>
  <c r="C67" i="7"/>
  <c r="E67" i="7" s="1"/>
  <c r="G67" i="7" s="1"/>
  <c r="I67" i="7" s="1"/>
  <c r="K67" i="7" s="1"/>
  <c r="M67" i="7" s="1"/>
  <c r="C66" i="7"/>
  <c r="E66" i="7" s="1"/>
  <c r="G66" i="7" s="1"/>
  <c r="I66" i="7" s="1"/>
  <c r="K66" i="7" s="1"/>
  <c r="M66" i="7" s="1"/>
  <c r="C65" i="7"/>
  <c r="E65" i="7" s="1"/>
  <c r="G65" i="7" s="1"/>
  <c r="I65" i="7" s="1"/>
  <c r="K65" i="7" s="1"/>
  <c r="M65" i="7" s="1"/>
  <c r="E64" i="7"/>
  <c r="G64" i="7" s="1"/>
  <c r="I64" i="7" s="1"/>
  <c r="K64" i="7" s="1"/>
  <c r="M64" i="7" s="1"/>
  <c r="C64" i="7"/>
  <c r="C63" i="7"/>
  <c r="E63" i="7" s="1"/>
  <c r="G63" i="7" s="1"/>
  <c r="I63" i="7" s="1"/>
  <c r="K63" i="7" s="1"/>
  <c r="M63" i="7" s="1"/>
  <c r="C62" i="7"/>
  <c r="E62" i="7" s="1"/>
  <c r="G62" i="7" s="1"/>
  <c r="I62" i="7" s="1"/>
  <c r="K62" i="7" s="1"/>
  <c r="M62" i="7" s="1"/>
  <c r="C61" i="7"/>
  <c r="E61" i="7" s="1"/>
  <c r="G61" i="7" s="1"/>
  <c r="I61" i="7" s="1"/>
  <c r="K61" i="7" s="1"/>
  <c r="M61" i="7" s="1"/>
  <c r="E60" i="7"/>
  <c r="G60" i="7" s="1"/>
  <c r="I60" i="7" s="1"/>
  <c r="K60" i="7" s="1"/>
  <c r="M60" i="7" s="1"/>
  <c r="C60" i="7"/>
  <c r="C59" i="7"/>
  <c r="E59" i="7" s="1"/>
  <c r="G59" i="7" s="1"/>
  <c r="I59" i="7" s="1"/>
  <c r="K59" i="7" s="1"/>
  <c r="M59" i="7" s="1"/>
  <c r="C58" i="7"/>
  <c r="E58" i="7" s="1"/>
  <c r="G58" i="7" s="1"/>
  <c r="I58" i="7" s="1"/>
  <c r="K58" i="7" s="1"/>
  <c r="M58" i="7" s="1"/>
  <c r="C57" i="7"/>
  <c r="E57" i="7" s="1"/>
  <c r="G57" i="7" s="1"/>
  <c r="I57" i="7" s="1"/>
  <c r="K57" i="7" s="1"/>
  <c r="M57" i="7" s="1"/>
  <c r="E56" i="7"/>
  <c r="G56" i="7" s="1"/>
  <c r="I56" i="7" s="1"/>
  <c r="K56" i="7" s="1"/>
  <c r="M56" i="7" s="1"/>
  <c r="C56" i="7"/>
  <c r="C55" i="7"/>
  <c r="E55" i="7" s="1"/>
  <c r="G55" i="7" s="1"/>
  <c r="I55" i="7" s="1"/>
  <c r="K55" i="7" s="1"/>
  <c r="M55" i="7" s="1"/>
  <c r="C54" i="7"/>
  <c r="E54" i="7" s="1"/>
  <c r="G54" i="7" s="1"/>
  <c r="I54" i="7" s="1"/>
  <c r="K54" i="7" s="1"/>
  <c r="M54" i="7" s="1"/>
  <c r="C53" i="7"/>
  <c r="E53" i="7" s="1"/>
  <c r="G53" i="7" s="1"/>
  <c r="I53" i="7" s="1"/>
  <c r="K53" i="7" s="1"/>
  <c r="M53" i="7" s="1"/>
  <c r="E52" i="7"/>
  <c r="G52" i="7" s="1"/>
  <c r="I52" i="7" s="1"/>
  <c r="K52" i="7" s="1"/>
  <c r="M52" i="7" s="1"/>
  <c r="C52" i="7"/>
  <c r="C51" i="7"/>
  <c r="E51" i="7" s="1"/>
  <c r="G51" i="7" s="1"/>
  <c r="I51" i="7" s="1"/>
  <c r="K51" i="7" s="1"/>
  <c r="M51" i="7" s="1"/>
  <c r="C50" i="7"/>
  <c r="E50" i="7" s="1"/>
  <c r="G50" i="7" s="1"/>
  <c r="I50" i="7" s="1"/>
  <c r="K50" i="7" s="1"/>
  <c r="M50" i="7" s="1"/>
  <c r="C49" i="7"/>
  <c r="E49" i="7" s="1"/>
  <c r="G49" i="7" s="1"/>
  <c r="I49" i="7" s="1"/>
  <c r="K49" i="7" s="1"/>
  <c r="M49" i="7" s="1"/>
  <c r="E48" i="7"/>
  <c r="G48" i="7" s="1"/>
  <c r="I48" i="7" s="1"/>
  <c r="K48" i="7" s="1"/>
  <c r="M48" i="7" s="1"/>
  <c r="C48" i="7"/>
  <c r="C47" i="7"/>
  <c r="E47" i="7" s="1"/>
  <c r="G47" i="7" s="1"/>
  <c r="I47" i="7" s="1"/>
  <c r="K47" i="7" s="1"/>
  <c r="M47" i="7" s="1"/>
  <c r="C46" i="7"/>
  <c r="E46" i="7" s="1"/>
  <c r="G46" i="7" s="1"/>
  <c r="I46" i="7" s="1"/>
  <c r="K46" i="7" s="1"/>
  <c r="M46" i="7" s="1"/>
  <c r="C45" i="7"/>
  <c r="E45" i="7" s="1"/>
  <c r="G45" i="7" s="1"/>
  <c r="I45" i="7" s="1"/>
  <c r="K45" i="7" s="1"/>
  <c r="M45" i="7" s="1"/>
  <c r="E44" i="7"/>
  <c r="G44" i="7" s="1"/>
  <c r="I44" i="7" s="1"/>
  <c r="K44" i="7" s="1"/>
  <c r="M44" i="7" s="1"/>
  <c r="C44" i="7"/>
  <c r="C67" i="6"/>
  <c r="E67" i="6" s="1"/>
  <c r="G67" i="6" s="1"/>
  <c r="I67" i="6" s="1"/>
  <c r="K67" i="6" s="1"/>
  <c r="M67" i="6" s="1"/>
  <c r="C66" i="6"/>
  <c r="E66" i="6" s="1"/>
  <c r="G66" i="6" s="1"/>
  <c r="I66" i="6" s="1"/>
  <c r="K66" i="6" s="1"/>
  <c r="M66" i="6" s="1"/>
  <c r="C65" i="6"/>
  <c r="E65" i="6" s="1"/>
  <c r="G65" i="6" s="1"/>
  <c r="I65" i="6" s="1"/>
  <c r="K65" i="6" s="1"/>
  <c r="M65" i="6" s="1"/>
  <c r="E64" i="6"/>
  <c r="G64" i="6" s="1"/>
  <c r="I64" i="6" s="1"/>
  <c r="K64" i="6" s="1"/>
  <c r="M64" i="6" s="1"/>
  <c r="C64" i="6"/>
  <c r="C63" i="6"/>
  <c r="E63" i="6" s="1"/>
  <c r="G63" i="6" s="1"/>
  <c r="I63" i="6" s="1"/>
  <c r="K63" i="6" s="1"/>
  <c r="M63" i="6" s="1"/>
  <c r="C62" i="6"/>
  <c r="E62" i="6" s="1"/>
  <c r="G62" i="6" s="1"/>
  <c r="I62" i="6" s="1"/>
  <c r="K62" i="6" s="1"/>
  <c r="M62" i="6" s="1"/>
  <c r="C61" i="6"/>
  <c r="E61" i="6" s="1"/>
  <c r="G61" i="6" s="1"/>
  <c r="I61" i="6" s="1"/>
  <c r="K61" i="6" s="1"/>
  <c r="M61" i="6" s="1"/>
  <c r="E60" i="6"/>
  <c r="G60" i="6" s="1"/>
  <c r="I60" i="6" s="1"/>
  <c r="K60" i="6" s="1"/>
  <c r="M60" i="6" s="1"/>
  <c r="C60" i="6"/>
  <c r="C59" i="6"/>
  <c r="E59" i="6" s="1"/>
  <c r="G59" i="6" s="1"/>
  <c r="I59" i="6" s="1"/>
  <c r="K59" i="6" s="1"/>
  <c r="M59" i="6" s="1"/>
  <c r="C58" i="6"/>
  <c r="E58" i="6" s="1"/>
  <c r="G58" i="6" s="1"/>
  <c r="I58" i="6" s="1"/>
  <c r="K58" i="6" s="1"/>
  <c r="M58" i="6" s="1"/>
  <c r="C57" i="6"/>
  <c r="E57" i="6" s="1"/>
  <c r="G57" i="6" s="1"/>
  <c r="I57" i="6" s="1"/>
  <c r="K57" i="6" s="1"/>
  <c r="M57" i="6" s="1"/>
  <c r="E56" i="6"/>
  <c r="G56" i="6" s="1"/>
  <c r="I56" i="6" s="1"/>
  <c r="K56" i="6" s="1"/>
  <c r="M56" i="6" s="1"/>
  <c r="C56" i="6"/>
  <c r="C55" i="6"/>
  <c r="E55" i="6" s="1"/>
  <c r="G55" i="6" s="1"/>
  <c r="I55" i="6" s="1"/>
  <c r="K55" i="6" s="1"/>
  <c r="M55" i="6" s="1"/>
  <c r="C54" i="6"/>
  <c r="E54" i="6" s="1"/>
  <c r="G54" i="6" s="1"/>
  <c r="I54" i="6" s="1"/>
  <c r="K54" i="6" s="1"/>
  <c r="M54" i="6" s="1"/>
  <c r="C53" i="6"/>
  <c r="E53" i="6" s="1"/>
  <c r="G53" i="6" s="1"/>
  <c r="I53" i="6" s="1"/>
  <c r="K53" i="6" s="1"/>
  <c r="M53" i="6" s="1"/>
  <c r="C52" i="6"/>
  <c r="E52" i="6" s="1"/>
  <c r="G52" i="6" s="1"/>
  <c r="I52" i="6" s="1"/>
  <c r="K52" i="6" s="1"/>
  <c r="M52" i="6" s="1"/>
  <c r="C51" i="6"/>
  <c r="E51" i="6" s="1"/>
  <c r="G51" i="6" s="1"/>
  <c r="I51" i="6" s="1"/>
  <c r="K51" i="6" s="1"/>
  <c r="M51" i="6" s="1"/>
  <c r="C50" i="6"/>
  <c r="E50" i="6" s="1"/>
  <c r="G50" i="6" s="1"/>
  <c r="I50" i="6" s="1"/>
  <c r="K50" i="6" s="1"/>
  <c r="M50" i="6" s="1"/>
  <c r="C49" i="6"/>
  <c r="E49" i="6" s="1"/>
  <c r="G49" i="6" s="1"/>
  <c r="I49" i="6" s="1"/>
  <c r="K49" i="6" s="1"/>
  <c r="M49" i="6" s="1"/>
  <c r="C48" i="6"/>
  <c r="E48" i="6" s="1"/>
  <c r="G48" i="6" s="1"/>
  <c r="I48" i="6" s="1"/>
  <c r="K48" i="6" s="1"/>
  <c r="M48" i="6" s="1"/>
  <c r="C47" i="6"/>
  <c r="E47" i="6" s="1"/>
  <c r="G47" i="6" s="1"/>
  <c r="I47" i="6" s="1"/>
  <c r="K47" i="6" s="1"/>
  <c r="M47" i="6" s="1"/>
  <c r="C46" i="6"/>
  <c r="E46" i="6" s="1"/>
  <c r="G46" i="6" s="1"/>
  <c r="I46" i="6" s="1"/>
  <c r="K46" i="6" s="1"/>
  <c r="M46" i="6" s="1"/>
  <c r="C45" i="6"/>
  <c r="E45" i="6" s="1"/>
  <c r="G45" i="6" s="1"/>
  <c r="I45" i="6" s="1"/>
  <c r="K45" i="6" s="1"/>
  <c r="M45" i="6" s="1"/>
  <c r="C44" i="6"/>
  <c r="E44" i="6" s="1"/>
  <c r="G44" i="6" s="1"/>
  <c r="I44" i="6" s="1"/>
  <c r="K44" i="6" s="1"/>
  <c r="M44" i="6" s="1"/>
  <c r="C67" i="5"/>
  <c r="E67" i="5" s="1"/>
  <c r="G67" i="5" s="1"/>
  <c r="I67" i="5" s="1"/>
  <c r="K67" i="5" s="1"/>
  <c r="M67" i="5" s="1"/>
  <c r="C66" i="5"/>
  <c r="E66" i="5" s="1"/>
  <c r="G66" i="5" s="1"/>
  <c r="I66" i="5" s="1"/>
  <c r="K66" i="5" s="1"/>
  <c r="M66" i="5" s="1"/>
  <c r="C65" i="5"/>
  <c r="E65" i="5" s="1"/>
  <c r="G65" i="5" s="1"/>
  <c r="I65" i="5" s="1"/>
  <c r="K65" i="5" s="1"/>
  <c r="M65" i="5" s="1"/>
  <c r="C64" i="5"/>
  <c r="E64" i="5" s="1"/>
  <c r="G64" i="5" s="1"/>
  <c r="I64" i="5" s="1"/>
  <c r="K64" i="5" s="1"/>
  <c r="M64" i="5" s="1"/>
  <c r="C63" i="5"/>
  <c r="E63" i="5" s="1"/>
  <c r="G63" i="5" s="1"/>
  <c r="I63" i="5" s="1"/>
  <c r="K63" i="5" s="1"/>
  <c r="M63" i="5" s="1"/>
  <c r="C62" i="5"/>
  <c r="E62" i="5" s="1"/>
  <c r="G62" i="5" s="1"/>
  <c r="I62" i="5" s="1"/>
  <c r="K62" i="5" s="1"/>
  <c r="M62" i="5" s="1"/>
  <c r="C61" i="5"/>
  <c r="E61" i="5" s="1"/>
  <c r="G61" i="5" s="1"/>
  <c r="I61" i="5" s="1"/>
  <c r="K61" i="5" s="1"/>
  <c r="M61" i="5" s="1"/>
  <c r="C60" i="5"/>
  <c r="E60" i="5" s="1"/>
  <c r="G60" i="5" s="1"/>
  <c r="I60" i="5" s="1"/>
  <c r="K60" i="5" s="1"/>
  <c r="M60" i="5" s="1"/>
  <c r="C59" i="5"/>
  <c r="E59" i="5" s="1"/>
  <c r="G59" i="5" s="1"/>
  <c r="I59" i="5" s="1"/>
  <c r="K59" i="5" s="1"/>
  <c r="M59" i="5" s="1"/>
  <c r="C58" i="5"/>
  <c r="E58" i="5" s="1"/>
  <c r="G58" i="5" s="1"/>
  <c r="I58" i="5" s="1"/>
  <c r="K58" i="5" s="1"/>
  <c r="M58" i="5" s="1"/>
  <c r="C57" i="5"/>
  <c r="E57" i="5" s="1"/>
  <c r="G57" i="5" s="1"/>
  <c r="I57" i="5" s="1"/>
  <c r="K57" i="5" s="1"/>
  <c r="M57" i="5" s="1"/>
  <c r="C56" i="5"/>
  <c r="E56" i="5" s="1"/>
  <c r="G56" i="5" s="1"/>
  <c r="I56" i="5" s="1"/>
  <c r="K56" i="5" s="1"/>
  <c r="M56" i="5" s="1"/>
  <c r="C55" i="5"/>
  <c r="E55" i="5" s="1"/>
  <c r="G55" i="5" s="1"/>
  <c r="I55" i="5" s="1"/>
  <c r="K55" i="5" s="1"/>
  <c r="M55" i="5" s="1"/>
  <c r="C54" i="5"/>
  <c r="E54" i="5" s="1"/>
  <c r="G54" i="5" s="1"/>
  <c r="I54" i="5" s="1"/>
  <c r="K54" i="5" s="1"/>
  <c r="M54" i="5" s="1"/>
  <c r="C53" i="5"/>
  <c r="E53" i="5" s="1"/>
  <c r="G53" i="5" s="1"/>
  <c r="I53" i="5" s="1"/>
  <c r="K53" i="5" s="1"/>
  <c r="M53" i="5" s="1"/>
  <c r="C52" i="5"/>
  <c r="E52" i="5" s="1"/>
  <c r="G52" i="5" s="1"/>
  <c r="I52" i="5" s="1"/>
  <c r="K52" i="5" s="1"/>
  <c r="M52" i="5" s="1"/>
  <c r="C51" i="5"/>
  <c r="E51" i="5" s="1"/>
  <c r="G51" i="5" s="1"/>
  <c r="I51" i="5" s="1"/>
  <c r="K51" i="5" s="1"/>
  <c r="M51" i="5" s="1"/>
  <c r="C50" i="5"/>
  <c r="E50" i="5" s="1"/>
  <c r="G50" i="5" s="1"/>
  <c r="I50" i="5" s="1"/>
  <c r="K50" i="5" s="1"/>
  <c r="M50" i="5" s="1"/>
  <c r="C49" i="5"/>
  <c r="E49" i="5" s="1"/>
  <c r="G49" i="5" s="1"/>
  <c r="I49" i="5" s="1"/>
  <c r="K49" i="5" s="1"/>
  <c r="M49" i="5" s="1"/>
  <c r="C48" i="5"/>
  <c r="E48" i="5" s="1"/>
  <c r="G48" i="5" s="1"/>
  <c r="I48" i="5" s="1"/>
  <c r="K48" i="5" s="1"/>
  <c r="M48" i="5" s="1"/>
  <c r="C47" i="5"/>
  <c r="E47" i="5" s="1"/>
  <c r="G47" i="5" s="1"/>
  <c r="I47" i="5" s="1"/>
  <c r="K47" i="5" s="1"/>
  <c r="M47" i="5" s="1"/>
  <c r="C46" i="5"/>
  <c r="E46" i="5" s="1"/>
  <c r="G46" i="5" s="1"/>
  <c r="I46" i="5" s="1"/>
  <c r="K46" i="5" s="1"/>
  <c r="M46" i="5" s="1"/>
  <c r="C45" i="5"/>
  <c r="E45" i="5" s="1"/>
  <c r="G45" i="5" s="1"/>
  <c r="I45" i="5" s="1"/>
  <c r="K45" i="5" s="1"/>
  <c r="M45" i="5" s="1"/>
  <c r="C44" i="5"/>
  <c r="E44" i="5" s="1"/>
  <c r="G44" i="5" s="1"/>
  <c r="I44" i="5" s="1"/>
  <c r="K44" i="5" s="1"/>
  <c r="M44" i="5" s="1"/>
  <c r="C67" i="4"/>
  <c r="E67" i="4" s="1"/>
  <c r="G67" i="4" s="1"/>
  <c r="I67" i="4" s="1"/>
  <c r="K67" i="4" s="1"/>
  <c r="M67" i="4" s="1"/>
  <c r="C66" i="4"/>
  <c r="E66" i="4" s="1"/>
  <c r="G66" i="4" s="1"/>
  <c r="I66" i="4" s="1"/>
  <c r="K66" i="4" s="1"/>
  <c r="M66" i="4" s="1"/>
  <c r="C65" i="4"/>
  <c r="E65" i="4" s="1"/>
  <c r="G65" i="4" s="1"/>
  <c r="I65" i="4" s="1"/>
  <c r="K65" i="4" s="1"/>
  <c r="M65" i="4" s="1"/>
  <c r="C64" i="4"/>
  <c r="E64" i="4" s="1"/>
  <c r="G64" i="4" s="1"/>
  <c r="I64" i="4" s="1"/>
  <c r="K64" i="4" s="1"/>
  <c r="M64" i="4" s="1"/>
  <c r="C63" i="4"/>
  <c r="E63" i="4" s="1"/>
  <c r="G63" i="4" s="1"/>
  <c r="I63" i="4" s="1"/>
  <c r="K63" i="4" s="1"/>
  <c r="M63" i="4" s="1"/>
  <c r="C62" i="4"/>
  <c r="E62" i="4" s="1"/>
  <c r="G62" i="4" s="1"/>
  <c r="I62" i="4" s="1"/>
  <c r="K62" i="4" s="1"/>
  <c r="M62" i="4" s="1"/>
  <c r="C61" i="4"/>
  <c r="E61" i="4" s="1"/>
  <c r="G61" i="4" s="1"/>
  <c r="I61" i="4" s="1"/>
  <c r="K61" i="4" s="1"/>
  <c r="M61" i="4" s="1"/>
  <c r="C60" i="4"/>
  <c r="E60" i="4" s="1"/>
  <c r="G60" i="4" s="1"/>
  <c r="I60" i="4" s="1"/>
  <c r="K60" i="4" s="1"/>
  <c r="M60" i="4" s="1"/>
  <c r="C59" i="4"/>
  <c r="E59" i="4" s="1"/>
  <c r="G59" i="4" s="1"/>
  <c r="I59" i="4" s="1"/>
  <c r="K59" i="4" s="1"/>
  <c r="M59" i="4" s="1"/>
  <c r="C58" i="4"/>
  <c r="E58" i="4" s="1"/>
  <c r="G58" i="4" s="1"/>
  <c r="I58" i="4" s="1"/>
  <c r="K58" i="4" s="1"/>
  <c r="M58" i="4" s="1"/>
  <c r="C57" i="4"/>
  <c r="E57" i="4" s="1"/>
  <c r="G57" i="4" s="1"/>
  <c r="I57" i="4" s="1"/>
  <c r="K57" i="4" s="1"/>
  <c r="M57" i="4" s="1"/>
  <c r="C56" i="4"/>
  <c r="E56" i="4" s="1"/>
  <c r="G56" i="4" s="1"/>
  <c r="I56" i="4" s="1"/>
  <c r="K56" i="4" s="1"/>
  <c r="M56" i="4" s="1"/>
  <c r="C55" i="4"/>
  <c r="E55" i="4" s="1"/>
  <c r="G55" i="4" s="1"/>
  <c r="I55" i="4" s="1"/>
  <c r="K55" i="4" s="1"/>
  <c r="M55" i="4" s="1"/>
  <c r="C54" i="4"/>
  <c r="E54" i="4" s="1"/>
  <c r="G54" i="4" s="1"/>
  <c r="I54" i="4" s="1"/>
  <c r="K54" i="4" s="1"/>
  <c r="M54" i="4" s="1"/>
  <c r="C53" i="4"/>
  <c r="E53" i="4" s="1"/>
  <c r="G53" i="4" s="1"/>
  <c r="I53" i="4" s="1"/>
  <c r="K53" i="4" s="1"/>
  <c r="M53" i="4" s="1"/>
  <c r="C52" i="4"/>
  <c r="E52" i="4" s="1"/>
  <c r="G52" i="4" s="1"/>
  <c r="I52" i="4" s="1"/>
  <c r="K52" i="4" s="1"/>
  <c r="M52" i="4" s="1"/>
  <c r="C51" i="4"/>
  <c r="E51" i="4" s="1"/>
  <c r="G51" i="4" s="1"/>
  <c r="I51" i="4" s="1"/>
  <c r="K51" i="4" s="1"/>
  <c r="M51" i="4" s="1"/>
  <c r="C50" i="4"/>
  <c r="E50" i="4" s="1"/>
  <c r="G50" i="4" s="1"/>
  <c r="I50" i="4" s="1"/>
  <c r="K50" i="4" s="1"/>
  <c r="M50" i="4" s="1"/>
  <c r="C49" i="4"/>
  <c r="E49" i="4" s="1"/>
  <c r="G49" i="4" s="1"/>
  <c r="I49" i="4" s="1"/>
  <c r="K49" i="4" s="1"/>
  <c r="M49" i="4" s="1"/>
  <c r="C48" i="4"/>
  <c r="E48" i="4" s="1"/>
  <c r="G48" i="4" s="1"/>
  <c r="I48" i="4" s="1"/>
  <c r="K48" i="4" s="1"/>
  <c r="M48" i="4" s="1"/>
  <c r="C47" i="4"/>
  <c r="E47" i="4" s="1"/>
  <c r="G47" i="4" s="1"/>
  <c r="I47" i="4" s="1"/>
  <c r="K47" i="4" s="1"/>
  <c r="M47" i="4" s="1"/>
  <c r="C46" i="4"/>
  <c r="E46" i="4" s="1"/>
  <c r="G46" i="4" s="1"/>
  <c r="I46" i="4" s="1"/>
  <c r="K46" i="4" s="1"/>
  <c r="M46" i="4" s="1"/>
  <c r="C45" i="4"/>
  <c r="E45" i="4" s="1"/>
  <c r="G45" i="4" s="1"/>
  <c r="I45" i="4" s="1"/>
  <c r="K45" i="4" s="1"/>
  <c r="M45" i="4" s="1"/>
  <c r="C44" i="4"/>
  <c r="E44" i="4" s="1"/>
  <c r="G44" i="4" s="1"/>
  <c r="I44" i="4" s="1"/>
  <c r="K44" i="4" s="1"/>
  <c r="M44" i="4" s="1"/>
  <c r="V26" i="16" l="1"/>
  <c r="AL26" i="16"/>
  <c r="BB26" i="16"/>
  <c r="BY26" i="16"/>
  <c r="CO26" i="16"/>
  <c r="DE26" i="16"/>
  <c r="EB26" i="16"/>
  <c r="ER26" i="16"/>
  <c r="FH26" i="16"/>
  <c r="EF26" i="17"/>
  <c r="EV26" i="17"/>
  <c r="FU26" i="17"/>
  <c r="N26" i="16"/>
  <c r="AD26" i="16"/>
  <c r="AT26" i="16"/>
  <c r="BQ26" i="16"/>
  <c r="CG26" i="16"/>
  <c r="CW26" i="16"/>
  <c r="DT26" i="16"/>
  <c r="EJ26" i="16"/>
  <c r="EZ26" i="16"/>
  <c r="AH26" i="17"/>
  <c r="AX26" i="17"/>
  <c r="BU26" i="17"/>
  <c r="CK26" i="17"/>
  <c r="DA26" i="17"/>
  <c r="DX26" i="17"/>
  <c r="EN26" i="17"/>
  <c r="FD26" i="17"/>
  <c r="GE54" i="17" l="1"/>
  <c r="GE54" i="16"/>
  <c r="GE54" i="15"/>
  <c r="GE54" i="14" l="1"/>
  <c r="GA54" i="17" l="1"/>
  <c r="FY54" i="17"/>
  <c r="GA54" i="16"/>
  <c r="FY54" i="16"/>
  <c r="GA54" i="15"/>
  <c r="FY54" i="15"/>
  <c r="FY54" i="14"/>
  <c r="GA54" i="14"/>
  <c r="GC54" i="17" l="1"/>
  <c r="FW54" i="17"/>
  <c r="GC54" i="16"/>
  <c r="FW54" i="16"/>
  <c r="FW54" i="15"/>
  <c r="GC54" i="15"/>
  <c r="FW54" i="14"/>
  <c r="GC54" i="14"/>
</calcChain>
</file>

<file path=xl/comments1.xml><?xml version="1.0" encoding="utf-8"?>
<comments xmlns="http://schemas.openxmlformats.org/spreadsheetml/2006/main">
  <authors>
    <author>Bohra Staff</author>
  </authors>
  <commentList>
    <comment ref="N4" authorId="0" shapeId="0">
      <text>
        <r>
          <rPr>
            <sz val="9"/>
            <color indexed="81"/>
            <rFont val="Meiryo UI"/>
            <family val="3"/>
            <charset val="128"/>
          </rPr>
          <t>乾球温度：33.70[℃]
相対湿度：56[％]
比エンタルピ：81.6[kJ/kg]
絶対湿度：0.0186[kg/kg]
湿球温度：26.2[℃]</t>
        </r>
      </text>
    </comment>
    <comment ref="N5" authorId="0" shapeId="0">
      <text>
        <r>
          <rPr>
            <sz val="9"/>
            <color indexed="81"/>
            <rFont val="Meiryo UI"/>
            <family val="3"/>
            <charset val="128"/>
          </rPr>
          <t>乾球温度：18.00[℃]
相対湿度：95[％]
比エンタルピ：49.4[kJ/kg]
絶対湿度：0.0123[kg/kg]
湿球温度：17.4[℃]</t>
        </r>
      </text>
    </comment>
    <comment ref="N6" authorId="0" shapeId="0">
      <text>
        <r>
          <rPr>
            <sz val="9"/>
            <color indexed="81"/>
            <rFont val="Meiryo UI"/>
            <family val="3"/>
            <charset val="128"/>
          </rPr>
          <t>乾球温度：18.69[℃]
相対湿度：91[％]
比エンタルピ：50.1[kJ/kg]
絶対湿度：0.0123[kg/kg]
湿球温度：17.7[℃]</t>
        </r>
      </text>
    </comment>
    <comment ref="N7" authorId="0" shapeId="0">
      <text>
        <r>
          <rPr>
            <sz val="9"/>
            <color indexed="81"/>
            <rFont val="Meiryo UI"/>
            <family val="3"/>
            <charset val="128"/>
          </rPr>
          <t>乾球温度：35.98[℃]
相対湿度：23[％]
比エンタルピ：58.0[kJ/kg]
絶対湿度：0.0085[kg/kg]
湿球温度：20.3[℃]</t>
        </r>
      </text>
    </comment>
    <comment ref="N8" authorId="0" shapeId="0">
      <text>
        <r>
          <rPr>
            <sz val="9"/>
            <color indexed="81"/>
            <rFont val="Meiryo UI"/>
            <family val="3"/>
            <charset val="128"/>
          </rPr>
          <t>乾球温度：30.39[℃]
相対湿度：31[％]
比エンタルピ：52.3[kJ/kg]
絶対湿度：0.0085[kg/kg]
湿球温度：18.5[℃]</t>
        </r>
      </text>
    </comment>
    <comment ref="N10" authorId="0" shapeId="0">
      <text>
        <r>
          <rPr>
            <sz val="9"/>
            <color indexed="81"/>
            <rFont val="Meiryo UI"/>
            <family val="3"/>
            <charset val="128"/>
          </rPr>
          <t>乾球温度：26.35[℃]
相対湿度：49[％]
比エンタルピ：53.2[kJ/kg]
絶対湿度：0.0105[kg/kg]
湿球温度：18.7[℃]</t>
        </r>
      </text>
    </comment>
    <comment ref="N12" authorId="0" shapeId="0">
      <text>
        <r>
          <rPr>
            <sz val="9"/>
            <color indexed="81"/>
            <rFont val="Meiryo UI"/>
            <family val="3"/>
            <charset val="128"/>
          </rPr>
          <t>乾球温度：17.50[℃]
相対湿度：83[％]
比エンタルピ：44.1[kJ/kg]
絶対湿度：0.0105[kg/kg]
湿球温度：15.7[℃]</t>
        </r>
      </text>
    </comment>
    <comment ref="N13" authorId="0" shapeId="0">
      <text>
        <r>
          <rPr>
            <sz val="9"/>
            <color indexed="81"/>
            <rFont val="Meiryo UI"/>
            <family val="3"/>
            <charset val="128"/>
          </rPr>
          <t>乾球温度：17.92[℃]
相対湿度：81[％]
比エンタルピ：44.5[kJ/kg]
絶対湿度：0.0105[kg/kg]
湿球温度：15.9[℃]</t>
        </r>
      </text>
    </comment>
    <comment ref="N15" authorId="0" shapeId="0">
      <text>
        <r>
          <rPr>
            <sz val="9"/>
            <color indexed="81"/>
            <rFont val="Meiryo UI"/>
            <family val="3"/>
            <charset val="128"/>
          </rPr>
          <t>乾球温度：26.00[℃]
相対湿度：50[％]
比エンタルピ：53.2[kJ/kg]
絶対湿度：0.0106[kg/kg]
湿球温度：18.8[℃]</t>
        </r>
      </text>
    </comment>
    <comment ref="N16" authorId="0" shapeId="0">
      <text>
        <r>
          <rPr>
            <sz val="9"/>
            <color indexed="81"/>
            <rFont val="Meiryo UI"/>
            <family val="3"/>
            <charset val="128"/>
          </rPr>
          <t>乾球温度：34.73[℃]
相対湿度：30[％]
比エンタルピ：61.9[kJ/kg]
絶対湿度：0.0105[kg/kg]
湿球温度：21.3[℃]</t>
        </r>
      </text>
    </comment>
    <comment ref="N18" authorId="0" shapeId="0">
      <text>
        <r>
          <rPr>
            <sz val="9"/>
            <color indexed="81"/>
            <rFont val="Meiryo UI"/>
            <family val="3"/>
            <charset val="128"/>
          </rPr>
          <t>乾球温度：53.27[℃]
相対湿度：12[％]
比エンタルピ：80.9[kJ/kg]
絶対湿度：0.0105[kg/kg]
湿球温度：26.3[℃]</t>
        </r>
      </text>
    </comment>
    <comment ref="N19" authorId="0" shapeId="0">
      <text>
        <r>
          <rPr>
            <sz val="9"/>
            <color indexed="81"/>
            <rFont val="Meiryo UI"/>
            <family val="3"/>
            <charset val="128"/>
          </rPr>
          <t>乾球温度：26.00[℃]
相対湿度：50[％]
比エンタルピ：52.9[kJ/kg]
絶対湿度：0.0105[kg/kg]
湿球温度：18.7[℃]</t>
        </r>
      </text>
    </comment>
    <comment ref="N20" authorId="0" shapeId="0">
      <text>
        <r>
          <rPr>
            <sz val="9"/>
            <color indexed="81"/>
            <rFont val="Meiryo UI"/>
            <family val="3"/>
            <charset val="128"/>
          </rPr>
          <t>乾球温度：37.76[℃]
相対湿度：12[％]
比エンタルピ：50.0[kJ/kg]
絶対湿度：0.0047[kg/kg]
湿球温度：17.9[℃]</t>
        </r>
      </text>
    </comment>
    <comment ref="N22" authorId="0" shapeId="0">
      <text>
        <r>
          <rPr>
            <sz val="9"/>
            <color indexed="81"/>
            <rFont val="Meiryo UI"/>
            <family val="3"/>
            <charset val="128"/>
          </rPr>
          <t>乾球温度：2.00[℃]
相対湿度：32[％]
比エンタルピ：5.5[kJ/kg]
絶対湿度：0.0014[kg/kg]
湿球温度：-2.6[℃]</t>
        </r>
      </text>
    </comment>
    <comment ref="N23" authorId="0" shapeId="0">
      <text>
        <r>
          <rPr>
            <sz val="9"/>
            <color indexed="81"/>
            <rFont val="Meiryo UI"/>
            <family val="3"/>
            <charset val="128"/>
          </rPr>
          <t>乾球温度：42.00[℃]
相対湿度：3[％]
比エンタルピ：45.9[kJ/kg]
絶対湿度：0.0014[kg/kg]
湿球温度：16.6[℃]</t>
        </r>
      </text>
    </comment>
    <comment ref="N24" authorId="0" shapeId="0">
      <text>
        <r>
          <rPr>
            <sz val="9"/>
            <color indexed="81"/>
            <rFont val="Meiryo UI"/>
            <family val="3"/>
            <charset val="128"/>
          </rPr>
          <t>乾球温度：32.00[℃]
相対湿度：9[％]
比エンタルピ：38.6[kJ/kg]
絶対湿度：0.0025[kg/kg]
湿球温度：13.9[℃]</t>
        </r>
      </text>
    </comment>
    <comment ref="N26" authorId="0" shapeId="0">
      <text>
        <r>
          <rPr>
            <sz val="9"/>
            <color indexed="81"/>
            <rFont val="Meiryo UI"/>
            <family val="3"/>
            <charset val="128"/>
          </rPr>
          <t>乾球温度：21.98[℃]
相対湿度：40[％]
比エンタルピ：38.9[kJ/kg]
絶対湿度：0.0066[kg/kg]
湿球温度：13.9[℃]</t>
        </r>
      </text>
    </comment>
    <comment ref="N27" authorId="0" shapeId="0">
      <text>
        <r>
          <rPr>
            <sz val="9"/>
            <color indexed="81"/>
            <rFont val="Meiryo UI"/>
            <family val="3"/>
            <charset val="128"/>
          </rPr>
          <t>乾球温度：22.00[℃]
相対湿度：40[％]
比エンタルピ：38.9[kJ/kg]
絶対湿度：0.0066[kg/kg]
湿球温度：13.9[℃]</t>
        </r>
      </text>
    </comment>
    <comment ref="N29" authorId="0" shapeId="0">
      <text>
        <r>
          <rPr>
            <sz val="9"/>
            <color indexed="81"/>
            <rFont val="Meiryo UI"/>
            <family val="3"/>
            <charset val="128"/>
          </rPr>
          <t>乾球温度：30.12[℃]
相対湿度：25[％]
比エンタルピ：47.2[kJ/kg]
絶対湿度：0.0066[kg/kg]
湿球温度：16.8[℃]</t>
        </r>
      </text>
    </comment>
    <comment ref="N31" authorId="0" shapeId="0">
      <text>
        <r>
          <rPr>
            <sz val="9"/>
            <color indexed="81"/>
            <rFont val="Meiryo UI"/>
            <family val="3"/>
            <charset val="128"/>
          </rPr>
          <t>乾球温度：22.00[℃]
相対湿度：40[％]
比エンタルピ：38.9[kJ/kg]
絶対湿度：0.0066[kg/kg]
湿球温度：13.9[℃]</t>
        </r>
      </text>
    </comment>
    <comment ref="N32" authorId="0" shapeId="0">
      <text>
        <r>
          <rPr>
            <sz val="9"/>
            <color indexed="81"/>
            <rFont val="Meiryo UI"/>
            <family val="3"/>
            <charset val="128"/>
          </rPr>
          <t>乾球温度：36.12[℃]
相対湿度：3[％]
比エンタルピ：39.0[kJ/kg]
絶対湿度：0.0010[kg/kg]
湿球温度：14.0[℃]</t>
        </r>
      </text>
    </comment>
  </commentList>
</comments>
</file>

<file path=xl/sharedStrings.xml><?xml version="1.0" encoding="utf-8"?>
<sst xmlns="http://schemas.openxmlformats.org/spreadsheetml/2006/main" count="9900" uniqueCount="853">
  <si>
    <t>負荷仕切紙</t>
  </si>
  <si>
    <t>計算用外界条件等</t>
  </si>
  <si>
    <t xml:space="preserve">  1.建物の位置、太陽位置などを示しています。</t>
  </si>
  <si>
    <t>位置情報・建物方位角など</t>
    <rPh sb="0" eb="2">
      <t>イチ</t>
    </rPh>
    <rPh sb="2" eb="4">
      <t>ジョウホウ</t>
    </rPh>
    <rPh sb="5" eb="7">
      <t>タテモノ</t>
    </rPh>
    <rPh sb="7" eb="9">
      <t>ホウイ</t>
    </rPh>
    <rPh sb="9" eb="10">
      <t>カク</t>
    </rPh>
    <phoneticPr fontId="9"/>
  </si>
  <si>
    <t>地点情報</t>
    <rPh sb="0" eb="2">
      <t>チテン</t>
    </rPh>
    <rPh sb="2" eb="4">
      <t>ジョウホウ</t>
    </rPh>
    <phoneticPr fontId="12"/>
  </si>
  <si>
    <t>斜面（壁面）方位角</t>
    <rPh sb="0" eb="2">
      <t>シャメン</t>
    </rPh>
    <rPh sb="3" eb="5">
      <t>ヘキメン</t>
    </rPh>
    <rPh sb="6" eb="8">
      <t>ホウイ</t>
    </rPh>
    <rPh sb="8" eb="9">
      <t>カク</t>
    </rPh>
    <phoneticPr fontId="12"/>
  </si>
  <si>
    <t>地点名称</t>
    <rPh sb="0" eb="2">
      <t>チテン</t>
    </rPh>
    <rPh sb="2" eb="4">
      <t>メイショウ</t>
    </rPh>
    <phoneticPr fontId="12"/>
  </si>
  <si>
    <t>緯度[°]</t>
    <rPh sb="0" eb="2">
      <t>イド</t>
    </rPh>
    <phoneticPr fontId="12"/>
  </si>
  <si>
    <t>経度[°]</t>
    <rPh sb="0" eb="2">
      <t>ケイド</t>
    </rPh>
    <phoneticPr fontId="12"/>
  </si>
  <si>
    <t>標準子午線経度[°]</t>
    <rPh sb="0" eb="2">
      <t>ヒョウジュン</t>
    </rPh>
    <rPh sb="2" eb="5">
      <t>シゴセン</t>
    </rPh>
    <rPh sb="5" eb="7">
      <t>ケイド</t>
    </rPh>
    <phoneticPr fontId="12"/>
  </si>
  <si>
    <t>斜面方位表示</t>
    <rPh sb="0" eb="2">
      <t>シャメン</t>
    </rPh>
    <rPh sb="2" eb="4">
      <t>ホウイ</t>
    </rPh>
    <rPh sb="4" eb="6">
      <t>ヒョウジ</t>
    </rPh>
    <phoneticPr fontId="12"/>
  </si>
  <si>
    <t>N</t>
    <phoneticPr fontId="12"/>
  </si>
  <si>
    <t>E</t>
    <phoneticPr fontId="12"/>
  </si>
  <si>
    <t>S</t>
    <phoneticPr fontId="12"/>
  </si>
  <si>
    <t>W</t>
    <phoneticPr fontId="12"/>
  </si>
  <si>
    <t>斜面方位角 α[°]</t>
    <rPh sb="0" eb="2">
      <t>シャメン</t>
    </rPh>
    <phoneticPr fontId="12"/>
  </si>
  <si>
    <t>太陽位置</t>
    <rPh sb="0" eb="2">
      <t>タイヨウ</t>
    </rPh>
    <rPh sb="2" eb="4">
      <t>イチ</t>
    </rPh>
    <phoneticPr fontId="12"/>
  </si>
  <si>
    <t>h-t基準</t>
    <phoneticPr fontId="12"/>
  </si>
  <si>
    <t>Jc-t基準</t>
    <phoneticPr fontId="12"/>
  </si>
  <si>
    <t>Js-t基準</t>
    <phoneticPr fontId="12"/>
  </si>
  <si>
    <t>太陽高度角 φ[°]</t>
    <rPh sb="4" eb="5">
      <t>カク</t>
    </rPh>
    <phoneticPr fontId="12"/>
  </si>
  <si>
    <t>太陽方位角 γ[°]</t>
    <phoneticPr fontId="12"/>
  </si>
  <si>
    <t>東京</t>
  </si>
  <si>
    <t>太陽位置計算日 ： 8月1日</t>
  </si>
  <si>
    <t>太陽位置計算日 ： 9月15日</t>
  </si>
  <si>
    <t xml:space="preserve">  2.設計用外気温湿度、地中温度などを示しています。</t>
  </si>
  <si>
    <t>外気条件・地中温度</t>
    <rPh sb="2" eb="4">
      <t>ジョウケン</t>
    </rPh>
    <phoneticPr fontId="9"/>
  </si>
  <si>
    <t>参照地点名</t>
    <rPh sb="0" eb="2">
      <t>サンショウ</t>
    </rPh>
    <rPh sb="2" eb="4">
      <t>チテン</t>
    </rPh>
    <rPh sb="4" eb="5">
      <t>メイ</t>
    </rPh>
    <phoneticPr fontId="12"/>
  </si>
  <si>
    <t>冷房設計用外気条件</t>
    <rPh sb="0" eb="2">
      <t>レイボウ</t>
    </rPh>
    <rPh sb="2" eb="5">
      <t>セッケイヨウ</t>
    </rPh>
    <rPh sb="5" eb="7">
      <t>ガイキ</t>
    </rPh>
    <rPh sb="7" eb="9">
      <t>ジョウケン</t>
    </rPh>
    <phoneticPr fontId="12"/>
  </si>
  <si>
    <t>注記：下線部は8時-18時運転時の、太字は24時間運転時の空調機外気負荷設計用外気条件</t>
    <rPh sb="0" eb="2">
      <t>チュウキ</t>
    </rPh>
    <rPh sb="3" eb="6">
      <t>カセンブ</t>
    </rPh>
    <rPh sb="8" eb="9">
      <t>ジ</t>
    </rPh>
    <rPh sb="12" eb="13">
      <t>ジ</t>
    </rPh>
    <rPh sb="13" eb="15">
      <t>ウンテン</t>
    </rPh>
    <rPh sb="15" eb="16">
      <t>ジ</t>
    </rPh>
    <rPh sb="18" eb="20">
      <t>フトジ</t>
    </rPh>
    <rPh sb="23" eb="25">
      <t>ジカン</t>
    </rPh>
    <rPh sb="25" eb="27">
      <t>ウンテン</t>
    </rPh>
    <rPh sb="27" eb="28">
      <t>ジ</t>
    </rPh>
    <rPh sb="29" eb="32">
      <t>クウチョウキ</t>
    </rPh>
    <rPh sb="32" eb="34">
      <t>ガイキ</t>
    </rPh>
    <rPh sb="34" eb="36">
      <t>フカ</t>
    </rPh>
    <rPh sb="36" eb="39">
      <t>セッケイヨウ</t>
    </rPh>
    <rPh sb="39" eb="41">
      <t>ガイキ</t>
    </rPh>
    <rPh sb="41" eb="43">
      <t>ジョウケン</t>
    </rPh>
    <phoneticPr fontId="12"/>
  </si>
  <si>
    <t>乾球温度[℃]</t>
    <rPh sb="0" eb="2">
      <t>カンキュウ</t>
    </rPh>
    <rPh sb="2" eb="4">
      <t>オンド</t>
    </rPh>
    <phoneticPr fontId="12"/>
  </si>
  <si>
    <t>絶対湿度[g/kg]</t>
    <rPh sb="0" eb="2">
      <t>ゼッタイ</t>
    </rPh>
    <rPh sb="2" eb="4">
      <t>シツド</t>
    </rPh>
    <phoneticPr fontId="12"/>
  </si>
  <si>
    <t>比エンタルピ [kJ/kg]</t>
    <phoneticPr fontId="12"/>
  </si>
  <si>
    <t>暖房設計用外気条件</t>
    <rPh sb="0" eb="2">
      <t>ダンボウ</t>
    </rPh>
    <rPh sb="2" eb="5">
      <t>セッケイヨウ</t>
    </rPh>
    <rPh sb="5" eb="7">
      <t>ガイキ</t>
    </rPh>
    <rPh sb="7" eb="9">
      <t>ジョウケン</t>
    </rPh>
    <phoneticPr fontId="12"/>
  </si>
  <si>
    <t>t-x基準</t>
    <phoneticPr fontId="12"/>
  </si>
  <si>
    <t>室負荷計算用外気条件</t>
    <rPh sb="0" eb="1">
      <t>シツ</t>
    </rPh>
    <rPh sb="1" eb="3">
      <t>フカ</t>
    </rPh>
    <rPh sb="3" eb="6">
      <t>ケイサンヨウ</t>
    </rPh>
    <rPh sb="6" eb="8">
      <t>ガイキ</t>
    </rPh>
    <rPh sb="8" eb="10">
      <t>ジョウケン</t>
    </rPh>
    <phoneticPr fontId="12"/>
  </si>
  <si>
    <t>左記外気条件を与える時刻における相当外気温度</t>
    <rPh sb="0" eb="2">
      <t>サキ</t>
    </rPh>
    <rPh sb="2" eb="4">
      <t>ガイキ</t>
    </rPh>
    <rPh sb="4" eb="6">
      <t>ジョウケン</t>
    </rPh>
    <rPh sb="7" eb="8">
      <t>アタ</t>
    </rPh>
    <rPh sb="10" eb="12">
      <t>ジコク</t>
    </rPh>
    <rPh sb="16" eb="18">
      <t>ソウトウ</t>
    </rPh>
    <rPh sb="18" eb="20">
      <t>ガイキ</t>
    </rPh>
    <rPh sb="20" eb="22">
      <t>オンド</t>
    </rPh>
    <phoneticPr fontId="12"/>
  </si>
  <si>
    <t>外気負荷設計用外気条件</t>
    <rPh sb="0" eb="2">
      <t>ガイキ</t>
    </rPh>
    <rPh sb="2" eb="4">
      <t>フカ</t>
    </rPh>
    <rPh sb="4" eb="7">
      <t>セッケイヨウ</t>
    </rPh>
    <rPh sb="7" eb="9">
      <t>ガイキ</t>
    </rPh>
    <rPh sb="9" eb="11">
      <t>ジョウケン</t>
    </rPh>
    <phoneticPr fontId="12"/>
  </si>
  <si>
    <t>9-18時用</t>
    <rPh sb="4" eb="5">
      <t>ジ</t>
    </rPh>
    <rPh sb="5" eb="6">
      <t>ヨウ</t>
    </rPh>
    <phoneticPr fontId="12"/>
  </si>
  <si>
    <t>24時間用</t>
    <rPh sb="2" eb="4">
      <t>ジカン</t>
    </rPh>
    <rPh sb="4" eb="5">
      <t>ヨウ</t>
    </rPh>
    <phoneticPr fontId="12"/>
  </si>
  <si>
    <t>上向き水平面</t>
    <rPh sb="0" eb="2">
      <t>ウエム</t>
    </rPh>
    <rPh sb="3" eb="6">
      <t>スイヘイメン</t>
    </rPh>
    <phoneticPr fontId="12"/>
  </si>
  <si>
    <t>垂直面</t>
    <rPh sb="0" eb="2">
      <t>スイチョク</t>
    </rPh>
    <rPh sb="2" eb="3">
      <t>メン</t>
    </rPh>
    <phoneticPr fontId="12"/>
  </si>
  <si>
    <t>下向き水平面</t>
    <rPh sb="0" eb="2">
      <t>シタム</t>
    </rPh>
    <rPh sb="3" eb="6">
      <t>スイヘイメン</t>
    </rPh>
    <phoneticPr fontId="12"/>
  </si>
  <si>
    <t>時刻</t>
    <rPh sb="0" eb="2">
      <t>ジコク</t>
    </rPh>
    <phoneticPr fontId="5"/>
  </si>
  <si>
    <t>時刻</t>
    <rPh sb="0" eb="2">
      <t>ジコク</t>
    </rPh>
    <phoneticPr fontId="12"/>
  </si>
  <si>
    <t>設計値</t>
    <rPh sb="0" eb="3">
      <t>セッケイチ</t>
    </rPh>
    <phoneticPr fontId="12"/>
  </si>
  <si>
    <t>t-Jh基準</t>
    <phoneticPr fontId="12"/>
  </si>
  <si>
    <t>比エンタルピ [kJ/kg]</t>
    <phoneticPr fontId="12"/>
  </si>
  <si>
    <t>注記</t>
    <rPh sb="0" eb="2">
      <t>チュウキ</t>
    </rPh>
    <phoneticPr fontId="12"/>
  </si>
  <si>
    <t>暖房設計用土間床、地中壁設計条件</t>
    <rPh sb="0" eb="2">
      <t>ダンボウ</t>
    </rPh>
    <rPh sb="2" eb="4">
      <t>セッケイ</t>
    </rPh>
    <rPh sb="4" eb="5">
      <t>ヨウ</t>
    </rPh>
    <rPh sb="5" eb="7">
      <t>ドマ</t>
    </rPh>
    <rPh sb="7" eb="8">
      <t>ユカ</t>
    </rPh>
    <rPh sb="9" eb="11">
      <t>チチュウ</t>
    </rPh>
    <rPh sb="11" eb="12">
      <t>ヘキ</t>
    </rPh>
    <rPh sb="12" eb="14">
      <t>セッケイ</t>
    </rPh>
    <rPh sb="14" eb="16">
      <t>ジョウケン</t>
    </rPh>
    <phoneticPr fontId="12"/>
  </si>
  <si>
    <t>赤坂・坂井の方法により算出するときの地下実効温度差</t>
    <rPh sb="11" eb="13">
      <t>サンシュツ</t>
    </rPh>
    <rPh sb="18" eb="20">
      <t>チカ</t>
    </rPh>
    <rPh sb="20" eb="22">
      <t>ジッコウ</t>
    </rPh>
    <rPh sb="22" eb="25">
      <t>オンドサ</t>
    </rPh>
    <phoneticPr fontId="18"/>
  </si>
  <si>
    <t>地中温度[℃]</t>
    <phoneticPr fontId="9"/>
  </si>
  <si>
    <t>赤坂・坂井の方法により算出する場合は使用しません。</t>
    <rPh sb="11" eb="13">
      <t>サンシュツ</t>
    </rPh>
    <rPh sb="15" eb="17">
      <t>バアイ</t>
    </rPh>
    <rPh sb="18" eb="20">
      <t>シヨウ</t>
    </rPh>
    <phoneticPr fontId="18"/>
  </si>
  <si>
    <t>基準値[K]</t>
    <rPh sb="0" eb="3">
      <t>キジュンチ</t>
    </rPh>
    <phoneticPr fontId="12"/>
  </si>
  <si>
    <t>平均気温[℃]</t>
    <rPh sb="0" eb="2">
      <t>ヘイキン</t>
    </rPh>
    <rPh sb="2" eb="4">
      <t>キオン</t>
    </rPh>
    <phoneticPr fontId="12"/>
  </si>
  <si>
    <t>東京の平均気温[℃]</t>
    <rPh sb="0" eb="2">
      <t>トウキョウ</t>
    </rPh>
    <rPh sb="3" eb="5">
      <t>ヘイキン</t>
    </rPh>
    <rPh sb="5" eb="7">
      <t>キオン</t>
    </rPh>
    <phoneticPr fontId="12"/>
  </si>
  <si>
    <t>決定値[K]</t>
    <rPh sb="0" eb="2">
      <t>ケッテイ</t>
    </rPh>
    <rPh sb="2" eb="3">
      <t>チ</t>
    </rPh>
    <phoneticPr fontId="12"/>
  </si>
  <si>
    <t>深度</t>
    <phoneticPr fontId="9"/>
  </si>
  <si>
    <t>t-x基準</t>
  </si>
  <si>
    <t>t-Jh基準</t>
  </si>
  <si>
    <t>平均気温はHASPEEデータの1時～24時までの暖房設計用外気温度の平均値です。</t>
    <rPh sb="0" eb="2">
      <t>ヘイキン</t>
    </rPh>
    <rPh sb="2" eb="4">
      <t>キオン</t>
    </rPh>
    <rPh sb="16" eb="17">
      <t>ジ</t>
    </rPh>
    <rPh sb="20" eb="21">
      <t>ジ</t>
    </rPh>
    <rPh sb="24" eb="26">
      <t>ダンボウ</t>
    </rPh>
    <rPh sb="26" eb="28">
      <t>セッケイ</t>
    </rPh>
    <rPh sb="28" eb="29">
      <t>ヨウ</t>
    </rPh>
    <rPh sb="29" eb="31">
      <t>ガイキ</t>
    </rPh>
    <rPh sb="31" eb="33">
      <t>オンド</t>
    </rPh>
    <rPh sb="34" eb="37">
      <t>ヘイキンチ</t>
    </rPh>
    <phoneticPr fontId="12"/>
  </si>
  <si>
    <t>東京</t>
    <phoneticPr fontId="12"/>
  </si>
  <si>
    <t>本設計（計算）においては夜間放射量（赤外放射熱損失）は考慮していません。</t>
  </si>
  <si>
    <t>したがって、暖房設計用相当外気温度はすべて外気温度に等しくなります。</t>
  </si>
  <si>
    <t>地中温度参照地点は東京です。</t>
  </si>
  <si>
    <t>実効温度差　ETD[K]</t>
    <rPh sb="0" eb="5">
      <t>ジッコウオンドサ</t>
    </rPh>
    <phoneticPr fontId="12"/>
  </si>
  <si>
    <t>水平</t>
  </si>
  <si>
    <t>N</t>
  </si>
  <si>
    <t>NE</t>
  </si>
  <si>
    <t>E</t>
  </si>
  <si>
    <t>SE</t>
  </si>
  <si>
    <t>S</t>
  </si>
  <si>
    <t>SW</t>
  </si>
  <si>
    <t>W</t>
  </si>
  <si>
    <t>NW</t>
  </si>
  <si>
    <t>実効温度差計算用無次元化貫流応答係数 yj = 貫流応答係数 Yj / 熱貫流率 U</t>
    <rPh sb="0" eb="2">
      <t>ジッコウ</t>
    </rPh>
    <rPh sb="2" eb="5">
      <t>オンドサ</t>
    </rPh>
    <rPh sb="5" eb="8">
      <t>ケイサンヨウ</t>
    </rPh>
    <rPh sb="8" eb="11">
      <t>ムジゲン</t>
    </rPh>
    <rPh sb="11" eb="12">
      <t>カ</t>
    </rPh>
    <rPh sb="12" eb="14">
      <t>カンリュウ</t>
    </rPh>
    <rPh sb="14" eb="18">
      <t>オウトウケイスウ</t>
    </rPh>
    <rPh sb="24" eb="26">
      <t>カンリュウ</t>
    </rPh>
    <rPh sb="26" eb="28">
      <t>オウトウ</t>
    </rPh>
    <rPh sb="28" eb="30">
      <t>ケイスウ</t>
    </rPh>
    <rPh sb="36" eb="37">
      <t>ネツ</t>
    </rPh>
    <rPh sb="37" eb="39">
      <t>カンリュウ</t>
    </rPh>
    <rPh sb="39" eb="40">
      <t>リツ</t>
    </rPh>
    <phoneticPr fontId="12"/>
  </si>
  <si>
    <t>ｊ</t>
    <phoneticPr fontId="12"/>
  </si>
  <si>
    <t>yj</t>
  </si>
  <si>
    <t>ｊ</t>
  </si>
  <si>
    <t>日陰</t>
    <phoneticPr fontId="3"/>
  </si>
  <si>
    <t>日陰</t>
    <phoneticPr fontId="3"/>
  </si>
  <si>
    <t>日陰</t>
    <phoneticPr fontId="3"/>
  </si>
  <si>
    <t>1.イタリック表示の部分は計算値です。</t>
  </si>
  <si>
    <t>2.実効温度差は室温26[℃]の時の値です。</t>
  </si>
  <si>
    <t xml:space="preserve">  また、各方位の値は斜面傾斜角（壁面の水平面に対する角度）が90[°]の時の値です。</t>
  </si>
  <si>
    <t>3.日射吸収率：0.7</t>
  </si>
  <si>
    <t>4.夜間放射量は考慮していません。</t>
  </si>
  <si>
    <t>5.外表面熱伝達率：23[W/(㎡・K)]</t>
  </si>
  <si>
    <t xml:space="preserve">  （上記の外表面熱伝達率は、相当外気温度の計算のみに使用しています。</t>
  </si>
  <si>
    <t xml:space="preserve">  　応答係数計算時の外表面熱伝達率は、壁タイプⅠ～Ⅳの場合は常に23[W/(㎡・K)]、</t>
  </si>
  <si>
    <t xml:space="preserve">  　壁タイプによらず個別に計算する場合は、熱貫流率データで指定された値です。）</t>
  </si>
  <si>
    <t>6.建物方位角：20[°]</t>
  </si>
  <si>
    <t xml:space="preserve">  （各方位の実効温度差は建物方位角を考慮して計算しなおしています。）</t>
  </si>
  <si>
    <t>実効温度差及び無次元化貫流応答係数 (外壁 OW1・壁タイプⅡ)</t>
    <phoneticPr fontId="12"/>
  </si>
  <si>
    <t>日陰</t>
    <phoneticPr fontId="3"/>
  </si>
  <si>
    <t>実効温度差及び無次元化貫流応答係数 (外壁 OW2・壁タイプⅡ)</t>
    <phoneticPr fontId="12"/>
  </si>
  <si>
    <t>上向日陰</t>
    <phoneticPr fontId="3"/>
  </si>
  <si>
    <t>---</t>
  </si>
  <si>
    <t>上向日陰</t>
    <phoneticPr fontId="3"/>
  </si>
  <si>
    <t>6.上向日陰の相当外気温度計算用の日射量を計算する際、</t>
  </si>
  <si>
    <t xml:space="preserve">  太陽方向の高輝度成分を考慮せず、直散分離後の値をそのまま用いています｡</t>
  </si>
  <si>
    <t>実効温度差 (屋根 OR1・壁タイプⅣ)</t>
    <phoneticPr fontId="12"/>
  </si>
  <si>
    <t>上向日陰</t>
    <phoneticPr fontId="3"/>
  </si>
  <si>
    <t>実効温度差 (屋根 OR2・壁タイプⅣ)</t>
    <phoneticPr fontId="12"/>
  </si>
  <si>
    <t xml:space="preserve">  3.外壁・屋根などの実効温度差を示しています。</t>
  </si>
  <si>
    <t xml:space="preserve">  4.非空調室の温度条件を示しています。</t>
  </si>
  <si>
    <t>非空調室などの温度条件</t>
    <rPh sb="0" eb="1">
      <t>ヒ</t>
    </rPh>
    <rPh sb="1" eb="3">
      <t>クウチョウ</t>
    </rPh>
    <rPh sb="3" eb="4">
      <t>シツ</t>
    </rPh>
    <rPh sb="7" eb="9">
      <t>オンド</t>
    </rPh>
    <rPh sb="9" eb="11">
      <t>ジョウケン</t>
    </rPh>
    <phoneticPr fontId="12"/>
  </si>
  <si>
    <t>中間季の値は参考値です</t>
    <rPh sb="0" eb="2">
      <t>チュウカン</t>
    </rPh>
    <rPh sb="2" eb="3">
      <t>キ</t>
    </rPh>
    <rPh sb="4" eb="5">
      <t>アタイ</t>
    </rPh>
    <rPh sb="6" eb="8">
      <t>サンコウ</t>
    </rPh>
    <rPh sb="8" eb="9">
      <t>チ</t>
    </rPh>
    <phoneticPr fontId="12"/>
  </si>
  <si>
    <t>隣室記号</t>
    <rPh sb="0" eb="2">
      <t>リンシツ</t>
    </rPh>
    <rPh sb="2" eb="4">
      <t>キゴウ</t>
    </rPh>
    <phoneticPr fontId="5"/>
  </si>
  <si>
    <t>隣室記号</t>
    <rPh sb="0" eb="2">
      <t>リンシツ</t>
    </rPh>
    <rPh sb="2" eb="4">
      <t>キゴウ</t>
    </rPh>
    <phoneticPr fontId="12"/>
  </si>
  <si>
    <t>室名</t>
    <rPh sb="0" eb="2">
      <t>シツメイ</t>
    </rPh>
    <phoneticPr fontId="12"/>
  </si>
  <si>
    <t>温度条件</t>
    <rPh sb="0" eb="2">
      <t>オンド</t>
    </rPh>
    <rPh sb="2" eb="4">
      <t>ジョウケン</t>
    </rPh>
    <phoneticPr fontId="12"/>
  </si>
  <si>
    <t>夏季</t>
    <rPh sb="0" eb="2">
      <t>カキ</t>
    </rPh>
    <phoneticPr fontId="12"/>
  </si>
  <si>
    <t>冬季</t>
    <rPh sb="0" eb="2">
      <t>トウキ</t>
    </rPh>
    <phoneticPr fontId="12"/>
  </si>
  <si>
    <t>中間季</t>
    <rPh sb="0" eb="2">
      <t>チュウカン</t>
    </rPh>
    <rPh sb="2" eb="3">
      <t>キ</t>
    </rPh>
    <phoneticPr fontId="12"/>
  </si>
  <si>
    <t>廊下</t>
  </si>
  <si>
    <t>廊下等</t>
  </si>
  <si>
    <t>隣室温度差係数=0.3</t>
  </si>
  <si>
    <t>階段</t>
  </si>
  <si>
    <t>階段室等</t>
  </si>
  <si>
    <t>隣室温度差係数=0.4</t>
  </si>
  <si>
    <t>WC</t>
  </si>
  <si>
    <t>トイレ</t>
  </si>
  <si>
    <t>風除室</t>
  </si>
  <si>
    <t>風除室等</t>
  </si>
  <si>
    <t>隣室温度差係数=1</t>
  </si>
  <si>
    <t>物置</t>
  </si>
  <si>
    <t>物置・倉庫</t>
  </si>
  <si>
    <t>厨房</t>
  </si>
  <si>
    <t>厨房等</t>
  </si>
  <si>
    <t>外気温度+2[K]</t>
  </si>
  <si>
    <t>倉庫</t>
  </si>
  <si>
    <t>倉庫（サーモ付換気扇）</t>
  </si>
  <si>
    <t>室温=40[℃]</t>
  </si>
  <si>
    <t>外気温度+5[K]</t>
  </si>
  <si>
    <t>機械室</t>
  </si>
  <si>
    <t>機械Ｓ</t>
  </si>
  <si>
    <t>機械室（サーモ付換気扇）</t>
  </si>
  <si>
    <t>電気室</t>
  </si>
  <si>
    <t>電気室（サーモ付換気扇）</t>
  </si>
  <si>
    <t>ボイラ</t>
  </si>
  <si>
    <t>ボイラー室</t>
  </si>
  <si>
    <t>外気温度+10[K]</t>
  </si>
  <si>
    <t>コンプ</t>
  </si>
  <si>
    <t>コンプレッサー室（サーモ付換気扇）</t>
  </si>
  <si>
    <t>凍-20℃</t>
  </si>
  <si>
    <t>冷凍庫（-20[℃]）</t>
  </si>
  <si>
    <t>室温=-20[℃]</t>
  </si>
  <si>
    <t>冷5℃</t>
  </si>
  <si>
    <t>冷蔵庫（5[℃]）</t>
  </si>
  <si>
    <t>室温=5[℃]</t>
  </si>
  <si>
    <t>参照地点名</t>
    <rPh sb="2" eb="4">
      <t>チテン</t>
    </rPh>
    <phoneticPr fontId="9"/>
  </si>
  <si>
    <t>注記</t>
    <rPh sb="0" eb="2">
      <t>チュウキ</t>
    </rPh>
    <phoneticPr fontId="9"/>
  </si>
  <si>
    <t>日陰コード</t>
    <rPh sb="0" eb="2">
      <t>ヒカゲ</t>
    </rPh>
    <phoneticPr fontId="9"/>
  </si>
  <si>
    <t>各部寸法[mm]</t>
  </si>
  <si>
    <t>V</t>
  </si>
  <si>
    <t>B</t>
  </si>
  <si>
    <t>b</t>
  </si>
  <si>
    <t>H</t>
  </si>
  <si>
    <t>h</t>
  </si>
  <si>
    <t>h'</t>
  </si>
  <si>
    <t>断面図</t>
    <rPh sb="0" eb="3">
      <t>ダンメンズ</t>
    </rPh>
    <phoneticPr fontId="9"/>
  </si>
  <si>
    <t>平面図</t>
    <rPh sb="0" eb="3">
      <t>ヘイメンズ</t>
    </rPh>
    <phoneticPr fontId="9"/>
  </si>
  <si>
    <t>上向日陰</t>
    <rPh sb="0" eb="2">
      <t>ウエム</t>
    </rPh>
    <rPh sb="2" eb="4">
      <t>ヒカゲ</t>
    </rPh>
    <phoneticPr fontId="9"/>
  </si>
  <si>
    <t>水平面拡散日射熱取得IGSh</t>
    <rPh sb="0" eb="2">
      <t>スイヘイ</t>
    </rPh>
    <rPh sb="2" eb="3">
      <t>メン</t>
    </rPh>
    <rPh sb="3" eb="5">
      <t>カクサン</t>
    </rPh>
    <rPh sb="5" eb="7">
      <t>ニッシャ</t>
    </rPh>
    <rPh sb="7" eb="8">
      <t>ネツ</t>
    </rPh>
    <rPh sb="8" eb="10">
      <t>シュトク</t>
    </rPh>
    <phoneticPr fontId="9"/>
  </si>
  <si>
    <t>日陰</t>
    <phoneticPr fontId="9"/>
  </si>
  <si>
    <t>垂直面拡散日射熱取得IGS</t>
    <rPh sb="0" eb="2">
      <t>スイチョク</t>
    </rPh>
    <rPh sb="2" eb="3">
      <t>メン</t>
    </rPh>
    <rPh sb="3" eb="5">
      <t>カクサン</t>
    </rPh>
    <rPh sb="5" eb="7">
      <t>ニッシャ</t>
    </rPh>
    <rPh sb="7" eb="8">
      <t>ネツ</t>
    </rPh>
    <rPh sb="8" eb="10">
      <t>シュトク</t>
    </rPh>
    <phoneticPr fontId="9"/>
  </si>
  <si>
    <t>水平面全日射熱取得IG</t>
    <rPh sb="0" eb="3">
      <t>スイヘイメン</t>
    </rPh>
    <rPh sb="3" eb="4">
      <t>ゼン</t>
    </rPh>
    <rPh sb="4" eb="6">
      <t>ニッシャ</t>
    </rPh>
    <rPh sb="6" eb="7">
      <t>ネツ</t>
    </rPh>
    <rPh sb="7" eb="9">
      <t>シュトク</t>
    </rPh>
    <phoneticPr fontId="9"/>
  </si>
  <si>
    <t>直達日射熱取得IGD</t>
    <rPh sb="0" eb="2">
      <t>チョクタツ</t>
    </rPh>
    <rPh sb="2" eb="4">
      <t>ニッシャ</t>
    </rPh>
    <rPh sb="4" eb="5">
      <t>ネツ</t>
    </rPh>
    <rPh sb="5" eb="7">
      <t>シュトク</t>
    </rPh>
    <phoneticPr fontId="9"/>
  </si>
  <si>
    <t>日照面積率SG</t>
    <phoneticPr fontId="9"/>
  </si>
  <si>
    <t>全日射熱取得IG=IGD･SG+IGS</t>
    <rPh sb="0" eb="1">
      <t>ゼン</t>
    </rPh>
    <rPh sb="1" eb="3">
      <t>ニッシャ</t>
    </rPh>
    <rPh sb="3" eb="4">
      <t>ネツ</t>
    </rPh>
    <rPh sb="4" eb="6">
      <t>シュトク</t>
    </rPh>
    <phoneticPr fontId="9"/>
  </si>
  <si>
    <t>日照面積率SG</t>
    <phoneticPr fontId="9"/>
  </si>
  <si>
    <t>Jc-t基準</t>
    <phoneticPr fontId="12"/>
  </si>
  <si>
    <t>水平日陰</t>
    <rPh sb="0" eb="2">
      <t>スイヘイ</t>
    </rPh>
    <phoneticPr fontId="9"/>
  </si>
  <si>
    <t>外部遮蔽計算用寸法と各時刻における日照面積率及びガラス透過日射熱取得[W/㎡]（外部遮蔽無し）</t>
    <phoneticPr fontId="12"/>
  </si>
  <si>
    <t>外部遮蔽無し</t>
  </si>
  <si>
    <t>1.日射熱取得単位は[W/㎡]</t>
  </si>
  <si>
    <t>2.イタリック表示の部分は計算値です。</t>
  </si>
  <si>
    <t>3.直散分離には渡辺モデルを使用しています｡</t>
  </si>
  <si>
    <t>4.真近点離角を求める際の太陽位置は</t>
  </si>
  <si>
    <t xml:space="preserve">  山崎の方法(計算年=1990年)で計算しています。</t>
  </si>
  <si>
    <t>5.入射角特性はJIS A 2103(附属書G)で計算しています。</t>
  </si>
  <si>
    <t>日照面積率SG</t>
    <phoneticPr fontId="9"/>
  </si>
  <si>
    <t>日陰</t>
    <phoneticPr fontId="9"/>
  </si>
  <si>
    <t>外部遮蔽計算用寸法と各時刻における日照面積率及びガラス透過日射熱取得[W/㎡]（日陰コード：2F-E）</t>
    <phoneticPr fontId="12"/>
  </si>
  <si>
    <t>2F-E</t>
  </si>
  <si>
    <t xml:space="preserve">  5.ガラス透過日射熱取得の値を示しています。</t>
  </si>
  <si>
    <t>熱貫流率計算表</t>
  </si>
  <si>
    <t xml:space="preserve">  構造体の熱貫流率を計算しています。</t>
  </si>
  <si>
    <t>熱貫流率の計算</t>
    <rPh sb="0" eb="1">
      <t>ネツ</t>
    </rPh>
    <rPh sb="1" eb="3">
      <t>カンリュウ</t>
    </rPh>
    <rPh sb="3" eb="4">
      <t>リツ</t>
    </rPh>
    <rPh sb="5" eb="7">
      <t>ケイサン</t>
    </rPh>
    <phoneticPr fontId="9"/>
  </si>
  <si>
    <t>略　　図</t>
    <rPh sb="0" eb="1">
      <t>リャク</t>
    </rPh>
    <rPh sb="3" eb="4">
      <t>ズ</t>
    </rPh>
    <phoneticPr fontId="9"/>
  </si>
  <si>
    <t>番号</t>
    <phoneticPr fontId="9"/>
  </si>
  <si>
    <t>材　料　名</t>
    <rPh sb="0" eb="1">
      <t>ザイ</t>
    </rPh>
    <rPh sb="2" eb="3">
      <t>リョウ</t>
    </rPh>
    <rPh sb="4" eb="5">
      <t>メイ</t>
    </rPh>
    <phoneticPr fontId="9"/>
  </si>
  <si>
    <t>厚さ
t
[m]</t>
    <phoneticPr fontId="9"/>
  </si>
  <si>
    <t>熱伝導率
λ
[W/(m･K)]</t>
    <phoneticPr fontId="9"/>
  </si>
  <si>
    <t>t/λ
[㎡･K/W]</t>
    <phoneticPr fontId="9"/>
  </si>
  <si>
    <t>厚さ
t
[m]</t>
  </si>
  <si>
    <t>熱伝導率
λ
[W/(m･K)]</t>
  </si>
  <si>
    <t>t/λ
[㎡･K/W]</t>
  </si>
  <si>
    <t>１行目</t>
  </si>
  <si>
    <t>外壁</t>
  </si>
  <si>
    <t>OW1</t>
  </si>
  <si>
    <t>壁タイプ=Ⅱ</t>
  </si>
  <si>
    <t>日射吸収率=0.7</t>
  </si>
  <si>
    <t>外壁外表面熱伝達率</t>
  </si>
  <si>
    <t>-</t>
  </si>
  <si>
    <t>(23[W/(㎡・K])</t>
  </si>
  <si>
    <t>気泡コンクリート（ALC）</t>
  </si>
  <si>
    <t>吹付け硬質ウレタンフォームＡ種3</t>
  </si>
  <si>
    <t>非密閉空気層</t>
  </si>
  <si>
    <t>せっこうボード</t>
  </si>
  <si>
    <t>ケイ酸カルシウム板　0.8mm</t>
  </si>
  <si>
    <t>室内表面熱伝達率</t>
  </si>
  <si>
    <t>(9[W/(㎡・K])</t>
  </si>
  <si>
    <t>熱抵抗(ｔ／λ合計)</t>
  </si>
  <si>
    <t>熱貫流率　U = 1/1.460 = 0.7[W/(㎡･K)]</t>
  </si>
  <si>
    <t>OW2</t>
  </si>
  <si>
    <t>吹付け硬質ウレタンフォームＡ種１</t>
  </si>
  <si>
    <t>熱貫流率　U = 1/1.540 = 0.6[W/(㎡･K)]</t>
  </si>
  <si>
    <t>外壁ｶﾞﾗｽ</t>
  </si>
  <si>
    <t>OG1</t>
  </si>
  <si>
    <t>透明 5mm</t>
  </si>
  <si>
    <t>(ブラインド無し)</t>
  </si>
  <si>
    <t>ガラス面積比率=0.85</t>
  </si>
  <si>
    <t>遮蔽係数 = 0.97</t>
  </si>
  <si>
    <t>熱貫流率 U = 5.9[W/(㎡･K)]</t>
  </si>
  <si>
    <t>OG2</t>
  </si>
  <si>
    <t>(明色ブラインド付)</t>
  </si>
  <si>
    <t>遮蔽係数 = 0.49→0.97</t>
  </si>
  <si>
    <t>熱貫流率 U = 4.2|5.9[W/(㎡･K)]</t>
  </si>
  <si>
    <t>OG3</t>
  </si>
  <si>
    <t>熱反シルバー+透明 6mm (空気層12mm)</t>
  </si>
  <si>
    <t>遮蔽係数 = 0.7</t>
  </si>
  <si>
    <t>熱貫流率 U = 2.8[W/(㎡･K)]</t>
  </si>
  <si>
    <t>屋根</t>
  </si>
  <si>
    <t>OR1</t>
  </si>
  <si>
    <t>壁タイプ=Ⅳ</t>
  </si>
  <si>
    <t>軽量コンクリート（軽量2種）</t>
  </si>
  <si>
    <t>押出法ポリスチレンフォーム　保温板　2種</t>
  </si>
  <si>
    <t>アスファルト類</t>
  </si>
  <si>
    <t>コンクリート</t>
  </si>
  <si>
    <t>熱貫流率　U = 1/2.121 = 0.5[W/(㎡･K)]</t>
  </si>
  <si>
    <t>OR2</t>
  </si>
  <si>
    <t>熱貫流率　U = 1/2.151 = 0.5[W/(㎡･K)]</t>
  </si>
  <si>
    <t>内壁</t>
  </si>
  <si>
    <t>IW1</t>
  </si>
  <si>
    <t>熱貫流率　U = 1/0.462 = 2.2[W/(㎡･K)]</t>
  </si>
  <si>
    <t>IW2</t>
  </si>
  <si>
    <t>熱貫流率　U = 1/0.402 = 2.5[W/(㎡･K)]</t>
  </si>
  <si>
    <t>IW3</t>
  </si>
  <si>
    <t>熱貫流率　U = 1/0.432 = 2.3[W/(㎡･K)]</t>
  </si>
  <si>
    <t>天井･床</t>
  </si>
  <si>
    <t>C1</t>
  </si>
  <si>
    <t xml:space="preserve">ビニル系床材  </t>
  </si>
  <si>
    <t>セメント・モルタル</t>
  </si>
  <si>
    <t>熱貫流率　U = 1/0.458 = 2.2[W/(㎡･K)]</t>
  </si>
  <si>
    <t>C2</t>
  </si>
  <si>
    <t>熱貫流率　U = 1/0.293 = 3.4[W/(㎡･K)]</t>
  </si>
  <si>
    <t>C3</t>
  </si>
  <si>
    <t>熱貫流率　U = 1/0.352 = 2.8[W/(㎡･K)]</t>
  </si>
  <si>
    <t>土間床</t>
  </si>
  <si>
    <t>BF1</t>
  </si>
  <si>
    <t>岩石</t>
  </si>
  <si>
    <t>土壌</t>
  </si>
  <si>
    <t>熱貫流率　U = 1/1.289 = 0.8[W/(㎡･K)]</t>
  </si>
  <si>
    <t>BF2</t>
  </si>
  <si>
    <t>熱貫流率　U = 1/1.453 = 0.7[W/(㎡･K)]</t>
  </si>
  <si>
    <t>地中壁</t>
  </si>
  <si>
    <t>BW1</t>
  </si>
  <si>
    <t>コンクリートブロック（軽量）</t>
  </si>
  <si>
    <t>熱貫流率　U = 1/1.589 = 0.6[W/(㎡･K)]</t>
  </si>
  <si>
    <t>各室熱負荷計算書</t>
  </si>
  <si>
    <t xml:space="preserve">  各室の構造体負荷、内部負荷および外気負荷を計算しています。</t>
  </si>
  <si>
    <t>空調使用時間：</t>
    <rPh sb="0" eb="2">
      <t>クウチョウ</t>
    </rPh>
    <rPh sb="2" eb="4">
      <t>シヨウ</t>
    </rPh>
    <rPh sb="4" eb="6">
      <t>ジカン</t>
    </rPh>
    <phoneticPr fontId="5"/>
  </si>
  <si>
    <t>負荷計算用紙J24h</t>
    <rPh sb="0" eb="2">
      <t>フカ</t>
    </rPh>
    <rPh sb="2" eb="4">
      <t>ケイサン</t>
    </rPh>
    <rPh sb="4" eb="6">
      <t>ヨウシ</t>
    </rPh>
    <phoneticPr fontId="5"/>
  </si>
  <si>
    <t>相対湿度</t>
    <phoneticPr fontId="24"/>
  </si>
  <si>
    <t>面積</t>
  </si>
  <si>
    <t>外壁面積法による分</t>
  </si>
  <si>
    <t>隙間風合計：</t>
  </si>
  <si>
    <t>明記なき単位は以下のとおり
 日射量ig：[W/㎡]、熱貫流率U：[W/(㎡・K)]、温度差⊿t：[K]</t>
    <rPh sb="0" eb="2">
      <t>メイキ</t>
    </rPh>
    <rPh sb="4" eb="6">
      <t>タンイ</t>
    </rPh>
    <rPh sb="7" eb="9">
      <t>イカ</t>
    </rPh>
    <phoneticPr fontId="5"/>
  </si>
  <si>
    <t>h-t基準　冷房負荷[W]</t>
    <rPh sb="3" eb="5">
      <t>キジュン</t>
    </rPh>
    <phoneticPr fontId="5"/>
  </si>
  <si>
    <t>Jc-t基準　冷房負荷[W]</t>
    <rPh sb="4" eb="6">
      <t>キジュン</t>
    </rPh>
    <phoneticPr fontId="5"/>
  </si>
  <si>
    <t>Js-t基準　冷房負荷[W]</t>
    <rPh sb="4" eb="6">
      <t>キジュン</t>
    </rPh>
    <phoneticPr fontId="5"/>
  </si>
  <si>
    <t>暖房負荷[W]</t>
    <rPh sb="0" eb="2">
      <t>ダンボウ</t>
    </rPh>
    <phoneticPr fontId="5"/>
  </si>
  <si>
    <t>最大負荷[W]</t>
    <rPh sb="0" eb="2">
      <t>サイダイ</t>
    </rPh>
    <rPh sb="2" eb="4">
      <t>フカ</t>
    </rPh>
    <phoneticPr fontId="5"/>
  </si>
  <si>
    <t>t-x基準</t>
    <rPh sb="3" eb="5">
      <t>キジュン</t>
    </rPh>
    <phoneticPr fontId="5"/>
  </si>
  <si>
    <t>t-Jh基準</t>
    <rPh sb="4" eb="6">
      <t>キジュン</t>
    </rPh>
    <phoneticPr fontId="5"/>
  </si>
  <si>
    <t>ガラス透過負荷</t>
    <rPh sb="3" eb="5">
      <t>トウカ</t>
    </rPh>
    <rPh sb="5" eb="7">
      <t>フカ</t>
    </rPh>
    <phoneticPr fontId="5"/>
  </si>
  <si>
    <t>壁体記号</t>
  </si>
  <si>
    <t>方位</t>
  </si>
  <si>
    <t>面積S[m2]</t>
    <phoneticPr fontId="5"/>
  </si>
  <si>
    <t>遮蔽係数SC</t>
    <phoneticPr fontId="12"/>
  </si>
  <si>
    <t>日陰コード</t>
    <rPh sb="0" eb="2">
      <t>ヒカゲ</t>
    </rPh>
    <phoneticPr fontId="5"/>
  </si>
  <si>
    <t>ig</t>
    <phoneticPr fontId="5"/>
  </si>
  <si>
    <t>S・S.C.・ig</t>
    <phoneticPr fontId="12"/>
  </si>
  <si>
    <t>ig</t>
  </si>
  <si>
    <t>S・S.C.・ig</t>
    <phoneticPr fontId="12"/>
  </si>
  <si>
    <t>S・S.C.・ig</t>
  </si>
  <si>
    <t>面積S[m2]</t>
    <phoneticPr fontId="5"/>
  </si>
  <si>
    <t>-</t>
    <phoneticPr fontId="5"/>
  </si>
  <si>
    <t>-</t>
    <phoneticPr fontId="5"/>
  </si>
  <si>
    <t>h-t基準
設計最大負荷
↓
↓
↓</t>
    <rPh sb="3" eb="5">
      <t>キジュン</t>
    </rPh>
    <rPh sb="6" eb="8">
      <t>セッケイ</t>
    </rPh>
    <rPh sb="8" eb="10">
      <t>サイダイ</t>
    </rPh>
    <phoneticPr fontId="5"/>
  </si>
  <si>
    <t>Jc-t基準
設計最大負荷
↓
↓
↓</t>
    <rPh sb="4" eb="6">
      <t>キジュン</t>
    </rPh>
    <rPh sb="9" eb="11">
      <t>サイダイ</t>
    </rPh>
    <phoneticPr fontId="5"/>
  </si>
  <si>
    <t>Js-t基準
設計最大負荷
↓
↓
↓</t>
    <rPh sb="4" eb="6">
      <t>キジュン</t>
    </rPh>
    <rPh sb="9" eb="11">
      <t>サイダイ</t>
    </rPh>
    <phoneticPr fontId="5"/>
  </si>
  <si>
    <t>-</t>
    <phoneticPr fontId="5"/>
  </si>
  <si>
    <t>①顕熱負荷1 [W]</t>
    <phoneticPr fontId="5"/>
  </si>
  <si>
    <t>①顕熱負荷1 [W]</t>
    <phoneticPr fontId="5"/>
  </si>
  <si>
    <t>壁体貫流負荷</t>
    <rPh sb="0" eb="1">
      <t>ヘキ</t>
    </rPh>
    <rPh sb="1" eb="2">
      <t>タイ</t>
    </rPh>
    <rPh sb="2" eb="4">
      <t>カンリュウ</t>
    </rPh>
    <rPh sb="4" eb="6">
      <t>フカ</t>
    </rPh>
    <phoneticPr fontId="5"/>
  </si>
  <si>
    <t>熱貫流率U</t>
  </si>
  <si>
    <t>⊿t</t>
    <phoneticPr fontId="5"/>
  </si>
  <si>
    <t>S・U・⊿t</t>
    <phoneticPr fontId="5"/>
  </si>
  <si>
    <t>⊿t</t>
  </si>
  <si>
    <t>S・U・⊿t</t>
    <phoneticPr fontId="5"/>
  </si>
  <si>
    <t>S・U・⊿t</t>
    <phoneticPr fontId="5"/>
  </si>
  <si>
    <t>S・U・⊿t</t>
  </si>
  <si>
    <t>S・U・⊿t</t>
    <phoneticPr fontId="5"/>
  </si>
  <si>
    <t>面積S[m2]</t>
    <phoneticPr fontId="5"/>
  </si>
  <si>
    <t>②顕熱負荷2 [W]</t>
    <phoneticPr fontId="5"/>
  </si>
  <si>
    <t>②顕熱負荷2 [W]</t>
    <phoneticPr fontId="5"/>
  </si>
  <si>
    <t>取得熱量</t>
  </si>
  <si>
    <t>損失熱量</t>
    <rPh sb="0" eb="2">
      <t>ソンシツ</t>
    </rPh>
    <phoneticPr fontId="5"/>
  </si>
  <si>
    <t>顕熱負荷</t>
  </si>
  <si>
    <t>h-t基準
設計顕熱負荷
↓
↓</t>
    <rPh sb="8" eb="10">
      <t>ケンネツ</t>
    </rPh>
    <phoneticPr fontId="12"/>
  </si>
  <si>
    <t>Jc-t基準
設計顕熱負荷
↓
↓</t>
    <rPh sb="9" eb="11">
      <t>ケンネツ</t>
    </rPh>
    <phoneticPr fontId="12"/>
  </si>
  <si>
    <t>Js-t基準
設計顕熱負荷
↓
↓</t>
    <rPh sb="9" eb="11">
      <t>ケンネツ</t>
    </rPh>
    <phoneticPr fontId="12"/>
  </si>
  <si>
    <t>冷房設計
最大顕熱負荷
↓
↓</t>
    <rPh sb="7" eb="9">
      <t>ケンネツ</t>
    </rPh>
    <phoneticPr fontId="12"/>
  </si>
  <si>
    <t>暖房設計
最大顕熱負荷
↓
↓</t>
    <rPh sb="7" eb="9">
      <t>ケンネツ</t>
    </rPh>
    <phoneticPr fontId="12"/>
  </si>
  <si>
    <t>h-t基準
設計潜熱負荷
↓
↓</t>
  </si>
  <si>
    <t>Jc-t基準
設計潜熱負荷
↓
↓</t>
  </si>
  <si>
    <t>Js-t基準
設計潜熱負荷
↓
↓</t>
  </si>
  <si>
    <t>冷房設計
最大潜熱負荷
↓
↓</t>
  </si>
  <si>
    <t>暖房設計
最大潜熱負荷
↓
↓</t>
  </si>
  <si>
    <t xml:space="preserve">
外気負荷、過冷却負荷及び全負荷</t>
    <rPh sb="1" eb="5">
      <t>ガイキフカ</t>
    </rPh>
    <rPh sb="6" eb="9">
      <t>カレイキャク</t>
    </rPh>
    <rPh sb="9" eb="11">
      <t>フカ</t>
    </rPh>
    <rPh sb="11" eb="12">
      <t>オヨ</t>
    </rPh>
    <rPh sb="13" eb="14">
      <t>ゼン</t>
    </rPh>
    <rPh sb="14" eb="16">
      <t>フカ</t>
    </rPh>
    <phoneticPr fontId="5"/>
  </si>
  <si>
    <t xml:space="preserve">
外気負荷及び全負荷</t>
    <rPh sb="1" eb="5">
      <t>ガイキフカ</t>
    </rPh>
    <rPh sb="5" eb="6">
      <t>オヨ</t>
    </rPh>
    <rPh sb="7" eb="8">
      <t>ゼン</t>
    </rPh>
    <rPh sb="8" eb="10">
      <t>フカ</t>
    </rPh>
    <phoneticPr fontId="5"/>
  </si>
  <si>
    <t>t-x基準</t>
    <phoneticPr fontId="5"/>
  </si>
  <si>
    <t>h-t基準</t>
    <rPh sb="3" eb="5">
      <t>キジュン</t>
    </rPh>
    <phoneticPr fontId="5"/>
  </si>
  <si>
    <t>Jc-t基準</t>
    <rPh sb="4" eb="6">
      <t>キジュン</t>
    </rPh>
    <phoneticPr fontId="5"/>
  </si>
  <si>
    <t>Js-t基準</t>
    <rPh sb="4" eb="6">
      <t>キジュン</t>
    </rPh>
    <phoneticPr fontId="5"/>
  </si>
  <si>
    <t>冷房最大</t>
    <rPh sb="0" eb="2">
      <t>レイボウ</t>
    </rPh>
    <rPh sb="2" eb="4">
      <t>サイダイ</t>
    </rPh>
    <phoneticPr fontId="5"/>
  </si>
  <si>
    <t>暖房最大</t>
    <rPh sb="0" eb="2">
      <t>ダンボウ</t>
    </rPh>
    <rPh sb="2" eb="4">
      <t>サイダイ</t>
    </rPh>
    <phoneticPr fontId="5"/>
  </si>
  <si>
    <t>⊿h</t>
  </si>
  <si>
    <t>　　その他の負荷</t>
    <rPh sb="4" eb="5">
      <t>タ</t>
    </rPh>
    <rPh sb="6" eb="8">
      <t>フカ</t>
    </rPh>
    <phoneticPr fontId="5"/>
  </si>
  <si>
    <t>その他の負荷</t>
    <rPh sb="2" eb="3">
      <t>タ</t>
    </rPh>
    <rPh sb="4" eb="6">
      <t>フカ</t>
    </rPh>
    <phoneticPr fontId="5"/>
  </si>
  <si>
    <t>t-x基準</t>
    <phoneticPr fontId="5"/>
  </si>
  <si>
    <t>負荷量</t>
  </si>
  <si>
    <t>⊿x</t>
  </si>
  <si>
    <t>　　備考</t>
    <rPh sb="2" eb="4">
      <t>ビコウ</t>
    </rPh>
    <phoneticPr fontId="5"/>
  </si>
  <si>
    <t>事務室</t>
  </si>
  <si>
    <t>AC-2</t>
  </si>
  <si>
    <t>4.2|5.9</t>
  </si>
  <si>
    <t>0.49→0.97</t>
  </si>
  <si>
    <t>(C)室内全熱負荷以降の外気負荷等は、熱源容量計算用の基準別、時刻別の値です。外気負荷を含めた空調機の容量の計算等は別紙「AC-2系統 空調機容量の計算」をご参照ください。</t>
  </si>
  <si>
    <t>9時-18時</t>
  </si>
  <si>
    <t>9時-18時</t>
    <phoneticPr fontId="5"/>
  </si>
  <si>
    <t>Js-t</t>
  </si>
  <si>
    <t>冷房設計
最大負荷
(顕熱負荷
により決定、
Js-t基準
採用)
↓
↓
↓</t>
    <phoneticPr fontId="5"/>
  </si>
  <si>
    <t>t-Jh</t>
  </si>
  <si>
    <t>暖房設計
最大負荷
(顕熱負荷
により決定、
t-Jh基準
採用)
↓
↓
↓</t>
    <phoneticPr fontId="5"/>
  </si>
  <si>
    <t>室NO</t>
  </si>
  <si>
    <t>室NO</t>
    <phoneticPr fontId="5"/>
  </si>
  <si>
    <t>室名</t>
  </si>
  <si>
    <t>室名</t>
    <phoneticPr fontId="5"/>
  </si>
  <si>
    <t>事務室</t>
    <phoneticPr fontId="3"/>
  </si>
  <si>
    <t>設計外気風量[m3/h]</t>
    <phoneticPr fontId="5"/>
  </si>
  <si>
    <t>夜間外気風量[m3/h]</t>
    <phoneticPr fontId="5"/>
  </si>
  <si>
    <t>系統記号</t>
    <phoneticPr fontId="5"/>
  </si>
  <si>
    <t>室NO</t>
    <phoneticPr fontId="5"/>
  </si>
  <si>
    <t>乾球温度</t>
    <phoneticPr fontId="3"/>
  </si>
  <si>
    <t>相対湿度</t>
    <phoneticPr fontId="24"/>
  </si>
  <si>
    <t>比エンタルピ</t>
    <phoneticPr fontId="24"/>
  </si>
  <si>
    <t>絶対湿度</t>
    <phoneticPr fontId="5"/>
  </si>
  <si>
    <t>AC-2</t>
    <phoneticPr fontId="3"/>
  </si>
  <si>
    <t>階</t>
  </si>
  <si>
    <t>階</t>
    <phoneticPr fontId="5"/>
  </si>
  <si>
    <t>面積</t>
    <phoneticPr fontId="3"/>
  </si>
  <si>
    <t>天井高</t>
    <phoneticPr fontId="5"/>
  </si>
  <si>
    <t>容積</t>
    <phoneticPr fontId="5"/>
  </si>
  <si>
    <t>隙間風→→</t>
    <phoneticPr fontId="5"/>
  </si>
  <si>
    <t>サッシより： -</t>
  </si>
  <si>
    <t>ドアより： -</t>
  </si>
  <si>
    <t>外壁面積法による分</t>
    <phoneticPr fontId="5"/>
  </si>
  <si>
    <t>隙間風合計：</t>
    <phoneticPr fontId="5"/>
  </si>
  <si>
    <t>h-t基準</t>
  </si>
  <si>
    <t>h-t基準</t>
    <phoneticPr fontId="12"/>
  </si>
  <si>
    <t>Jc-t基準</t>
  </si>
  <si>
    <t>Jc-t基準</t>
    <phoneticPr fontId="12"/>
  </si>
  <si>
    <t>Js-t基準</t>
  </si>
  <si>
    <t>Js-t基準</t>
    <phoneticPr fontId="12"/>
  </si>
  <si>
    <t>隙間風→→</t>
    <phoneticPr fontId="12"/>
  </si>
  <si>
    <t>外壁面積法による分</t>
    <phoneticPr fontId="3"/>
  </si>
  <si>
    <t>隙間風合計：</t>
    <phoneticPr fontId="3"/>
  </si>
  <si>
    <t>内部負荷</t>
    <phoneticPr fontId="5"/>
  </si>
  <si>
    <t>r</t>
    <phoneticPr fontId="5"/>
  </si>
  <si>
    <t>取得熱量</t>
    <phoneticPr fontId="3"/>
  </si>
  <si>
    <t>時刻</t>
    <phoneticPr fontId="5"/>
  </si>
  <si>
    <t>損失熱量</t>
    <phoneticPr fontId="5"/>
  </si>
  <si>
    <t>人間</t>
    <phoneticPr fontId="5"/>
  </si>
  <si>
    <t>×稼働率r</t>
  </si>
  <si>
    <t>照明</t>
    <phoneticPr fontId="5"/>
  </si>
  <si>
    <t>OA機器</t>
    <phoneticPr fontId="3"/>
  </si>
  <si>
    <t>大形事務器、生産装置</t>
    <phoneticPr fontId="5"/>
  </si>
  <si>
    <t>その他の顕熱負荷</t>
    <phoneticPr fontId="5"/>
  </si>
  <si>
    <t>③顕熱負荷3 [W]</t>
    <phoneticPr fontId="5"/>
  </si>
  <si>
    <t>隙間風</t>
    <phoneticPr fontId="5"/>
  </si>
  <si>
    <t>⊿t</t>
    <phoneticPr fontId="3"/>
  </si>
  <si>
    <t>顕熱負荷</t>
    <phoneticPr fontId="3"/>
  </si>
  <si>
    <t>④顕熱負荷4[W]</t>
    <phoneticPr fontId="5"/>
  </si>
  <si>
    <t>地中構造体</t>
    <phoneticPr fontId="5"/>
  </si>
  <si>
    <t>外気に接する長さL[m]</t>
    <phoneticPr fontId="12"/>
  </si>
  <si>
    <t>周長基準熱貫流率U</t>
    <phoneticPr fontId="12"/>
  </si>
  <si>
    <t>L・U・⊿t</t>
    <phoneticPr fontId="5"/>
  </si>
  <si>
    <t>L・U・⊿t</t>
    <phoneticPr fontId="3"/>
  </si>
  <si>
    <t>⊿t</t>
    <phoneticPr fontId="5"/>
  </si>
  <si>
    <t>土間床</t>
    <phoneticPr fontId="12"/>
  </si>
  <si>
    <t>地中壁</t>
    <phoneticPr fontId="12"/>
  </si>
  <si>
    <t>⑤顕熱負荷5 [W]</t>
    <phoneticPr fontId="5"/>
  </si>
  <si>
    <t>蓄熱負荷</t>
    <phoneticPr fontId="5"/>
  </si>
  <si>
    <t>地上（HASPEEの方法による分）</t>
    <phoneticPr fontId="12"/>
  </si>
  <si>
    <t>地中（井上の方法による分）</t>
    <phoneticPr fontId="12"/>
  </si>
  <si>
    <t>⑥顕熱負荷6 [W]</t>
    <phoneticPr fontId="5"/>
  </si>
  <si>
    <t>⑦顕熱負荷小計　①+②+③+④+⑤+⑥ [W]</t>
    <phoneticPr fontId="5"/>
  </si>
  <si>
    <t>⑧余裕係数×送風機負荷係数</t>
    <phoneticPr fontId="5"/>
  </si>
  <si>
    <t>1.00×1.05</t>
  </si>
  <si>
    <t>⑧余裕係数</t>
    <phoneticPr fontId="5"/>
  </si>
  <si>
    <t xml:space="preserve"> (A)顕熱負荷 ⑦×⑧ [W]</t>
    <phoneticPr fontId="5"/>
  </si>
  <si>
    <t>潜熱負荷</t>
    <phoneticPr fontId="5"/>
  </si>
  <si>
    <t>絶対湿度差⊿xの単位：[g/kg]</t>
    <phoneticPr fontId="36"/>
  </si>
  <si>
    <t>r,⊿x</t>
    <phoneticPr fontId="3"/>
  </si>
  <si>
    <t>その他の潜熱負荷</t>
    <phoneticPr fontId="5"/>
  </si>
  <si>
    <t>(B)潜熱負荷合計 [W]</t>
    <phoneticPr fontId="5"/>
  </si>
  <si>
    <t>(C)室内全熱負荷　(A)+(B) [W]</t>
    <phoneticPr fontId="5"/>
  </si>
  <si>
    <t>単位負荷（室内全熱負荷(C)／室面積） [W/m2]</t>
    <phoneticPr fontId="5"/>
  </si>
  <si>
    <t>空調使用時間：</t>
    <phoneticPr fontId="5"/>
  </si>
  <si>
    <t>冷暖</t>
    <phoneticPr fontId="3"/>
  </si>
  <si>
    <t>冷房設計用蓄熱負荷の計算</t>
    <phoneticPr fontId="5"/>
  </si>
  <si>
    <t>暖房設計用蓄熱負荷の計算</t>
    <phoneticPr fontId="5"/>
  </si>
  <si>
    <t>本室の冷房蓄熱負荷の扱い</t>
    <phoneticPr fontId="5"/>
  </si>
  <si>
    <t>連日分、休日分の両方を考慮</t>
    <phoneticPr fontId="5"/>
  </si>
  <si>
    <t>本室の暖房蓄熱負荷の扱い</t>
    <phoneticPr fontId="5"/>
  </si>
  <si>
    <t>予冷時間</t>
    <phoneticPr fontId="5"/>
  </si>
  <si>
    <t>予熱時間</t>
    <phoneticPr fontId="5"/>
  </si>
  <si>
    <t>予冷終了後の負荷変動に対する公比 r</t>
    <phoneticPr fontId="5"/>
  </si>
  <si>
    <t>予熱時間補正係数 Cp</t>
    <phoneticPr fontId="5"/>
  </si>
  <si>
    <t xml:space="preserve"> 表1　窓方位係数 Csr と予冷時間補正係数 Cp 窓面積比 Ag/Afの計算</t>
    <phoneticPr fontId="5"/>
  </si>
  <si>
    <t xml:space="preserve"> 表2　窓方位係数 Csr の計算</t>
    <phoneticPr fontId="5"/>
  </si>
  <si>
    <t>方位</t>
    <phoneticPr fontId="5"/>
  </si>
  <si>
    <t>窓面積Ag</t>
    <phoneticPr fontId="5"/>
  </si>
  <si>
    <t>Csr</t>
    <phoneticPr fontId="5"/>
  </si>
  <si>
    <t>Cp</t>
    <phoneticPr fontId="5"/>
  </si>
  <si>
    <t>Ag×Csr</t>
    <phoneticPr fontId="5"/>
  </si>
  <si>
    <t>Ag×Cp</t>
    <phoneticPr fontId="5"/>
  </si>
  <si>
    <t>窓面積Ag×SG</t>
    <phoneticPr fontId="5"/>
  </si>
  <si>
    <t>Ag×SG×Csr</t>
    <phoneticPr fontId="5"/>
  </si>
  <si>
    <t>一般方位</t>
    <phoneticPr fontId="3"/>
  </si>
  <si>
    <t>SE,S,SW</t>
    <phoneticPr fontId="3"/>
  </si>
  <si>
    <t>合計</t>
    <phoneticPr fontId="5"/>
  </si>
  <si>
    <t>加重平均</t>
    <phoneticPr fontId="5"/>
  </si>
  <si>
    <t>床面積Af=</t>
    <phoneticPr fontId="5"/>
  </si>
  <si>
    <t>[㎡]</t>
    <phoneticPr fontId="5"/>
  </si>
  <si>
    <t>注：SGは対象の窓ガラスの1月30日9時における日照面積率</t>
    <phoneticPr fontId="5"/>
  </si>
  <si>
    <t>窓面積比=Ag/Af=</t>
    <phoneticPr fontId="5"/>
  </si>
  <si>
    <t>t-x基準12時の水平面全天日射量</t>
    <phoneticPr fontId="5"/>
  </si>
  <si>
    <t>[W/㎡]</t>
    <phoneticPr fontId="5"/>
  </si>
  <si>
    <t>上記による軽減係数</t>
    <phoneticPr fontId="5"/>
  </si>
  <si>
    <t>地域と設計室温の補正係数　Ct　の計算</t>
    <phoneticPr fontId="35"/>
  </si>
  <si>
    <t>Csrの決定値</t>
    <phoneticPr fontId="5"/>
  </si>
  <si>
    <t>Jc-t基準気象データの6時の外気温度 to6Jct</t>
    <phoneticPr fontId="5"/>
  </si>
  <si>
    <t>[℃]</t>
    <phoneticPr fontId="5"/>
  </si>
  <si>
    <t>冷房室内設計温度 tr</t>
    <phoneticPr fontId="5"/>
  </si>
  <si>
    <t>表3　熱損失係数 Kt および</t>
    <phoneticPr fontId="5"/>
  </si>
  <si>
    <t xml:space="preserve">⊿t=to6Jct-tr= 27.3 [℃]- 26.0 [℃]= </t>
  </si>
  <si>
    <t>基準負荷(連日運転) qbase0、基準負荷(休日成分) qbase1 の計算</t>
    <phoneticPr fontId="5"/>
  </si>
  <si>
    <t xml:space="preserve">Ct=0.22×(⊿t-1.3) = 0.22×(1.3 -1.3)= </t>
  </si>
  <si>
    <t>1Kあたりの熱損失[W/K]</t>
    <phoneticPr fontId="5"/>
  </si>
  <si>
    <t>床面積Af
[㎡]</t>
    <phoneticPr fontId="5"/>
  </si>
  <si>
    <t>Ct決定値　</t>
  </si>
  <si>
    <t>窓
ΣU・A</t>
    <phoneticPr fontId="5"/>
  </si>
  <si>
    <t>外壁・屋根
ΣU・A</t>
    <phoneticPr fontId="5"/>
  </si>
  <si>
    <t>内壁・天井
・床
ΣU・Aj</t>
    <phoneticPr fontId="5"/>
  </si>
  <si>
    <t>隙間風
cρV</t>
    <phoneticPr fontId="5"/>
  </si>
  <si>
    <t>連日運転の実用蓄熱負荷 qst0　の計算</t>
    <phoneticPr fontId="5"/>
  </si>
  <si>
    <t xml:space="preserve">qst0=13(1+Ct+Csr)Ag/Af+7=13×(1+ 0.00+0.00)×0.20 +7 = </t>
  </si>
  <si>
    <t>実用蓄熱負荷の休日成分 qst1 の計算</t>
    <phoneticPr fontId="5"/>
  </si>
  <si>
    <t xml:space="preserve">qst1=47(1+0.6Ct)Ag/Af+10=47×(1+0.6×0.00)×0.20 +10 = </t>
  </si>
  <si>
    <t>冷房設計用実用蓄熱負荷の各値の計算</t>
    <phoneticPr fontId="5"/>
  </si>
  <si>
    <t>連日運転分
[W/㎡]</t>
    <phoneticPr fontId="5"/>
  </si>
  <si>
    <t>休日成分
[W/㎡]</t>
    <phoneticPr fontId="5"/>
  </si>
  <si>
    <t>合計
[W/㎡]</t>
    <phoneticPr fontId="5"/>
  </si>
  <si>
    <t>熱損失係数 Kt</t>
    <phoneticPr fontId="5"/>
  </si>
  <si>
    <t>予冷終了時</t>
    <phoneticPr fontId="5"/>
  </si>
  <si>
    <t>Cp×1.0×qst0=</t>
  </si>
  <si>
    <t>1.0×qst1=</t>
  </si>
  <si>
    <t>予冷終了後</t>
    <phoneticPr fontId="5"/>
  </si>
  <si>
    <t>0.65×qst0=</t>
  </si>
  <si>
    <t>0.65×qst1=</t>
  </si>
  <si>
    <t>t-Jh基準気象データの9時の外気温度 to9Jh</t>
    <phoneticPr fontId="5"/>
  </si>
  <si>
    <t>暖房室内設計温度 tr</t>
    <phoneticPr fontId="5"/>
  </si>
  <si>
    <t>注記</t>
  </si>
  <si>
    <t xml:space="preserve">⊿T=tr-to9Jh= 22.0 [℃]- 1.5 [℃]= </t>
  </si>
  <si>
    <t xml:space="preserve">1.　Cp= 1.00 （表1にて計算済） </t>
  </si>
  <si>
    <t xml:space="preserve">Ct=0.05×(⊿t-20.5) = 0.05×(20.5 -20.5)= </t>
  </si>
  <si>
    <t>2.　予冷終了時とは部屋使用開始時刻（通常9時）を示します。</t>
  </si>
  <si>
    <t>3.　予冷終了後とは上記の次の時刻（通常10時）以降を示します。</t>
  </si>
  <si>
    <t xml:space="preserve">4.　予冷終了後の蓄熱負荷は公比 0.92 により下記のように計算します。 </t>
  </si>
  <si>
    <t xml:space="preserve">qst0=Cp(1+Ct)qbase0-20=1.00× (1+ 0.00 )× 56.4 -20= </t>
  </si>
  <si>
    <t>経過時間
j [h]</t>
    <phoneticPr fontId="5"/>
  </si>
  <si>
    <t>Cj0</t>
    <phoneticPr fontId="5"/>
  </si>
  <si>
    <t>連日分
[W/㎡]</t>
    <phoneticPr fontId="5"/>
  </si>
  <si>
    <t>qst0 の決定値　</t>
  </si>
  <si>
    <t xml:space="preserve">qst1=(1+1.8Ct-Csr)qbase1=(1+1.8× 0.00 - 0.65 )× 38.4 = </t>
  </si>
  <si>
    <t>暖房設計用実用蓄熱負荷合計値　qst</t>
    <phoneticPr fontId="5"/>
  </si>
  <si>
    <r>
      <t>qbase0=90(1-e</t>
    </r>
    <r>
      <rPr>
        <vertAlign val="superscript"/>
        <sz val="9"/>
        <rFont val="ＭＳ Ｐゴシック"/>
        <family val="3"/>
        <charset val="128"/>
      </rPr>
      <t>-0.31Kt</t>
    </r>
    <r>
      <rPr>
        <sz val="9"/>
        <rFont val="ＭＳ Ｐゴシック"/>
        <family val="3"/>
        <charset val="128"/>
      </rPr>
      <t>)[W/㎡]</t>
    </r>
    <phoneticPr fontId="5"/>
  </si>
  <si>
    <r>
      <t>qbase1=43(1-e</t>
    </r>
    <r>
      <rPr>
        <vertAlign val="superscript"/>
        <sz val="9"/>
        <rFont val="ＭＳ Ｐゴシック"/>
        <family val="3"/>
        <charset val="128"/>
      </rPr>
      <t>-0.70Kt</t>
    </r>
    <r>
      <rPr>
        <sz val="9"/>
        <rFont val="ＭＳ Ｐゴシック"/>
        <family val="3"/>
        <charset val="128"/>
      </rPr>
      <t>)[W/㎡]</t>
    </r>
    <phoneticPr fontId="5"/>
  </si>
  <si>
    <t>面積S[m2]</t>
    <phoneticPr fontId="5"/>
  </si>
  <si>
    <t>遮蔽係数SC</t>
    <phoneticPr fontId="12"/>
  </si>
  <si>
    <t>ig</t>
    <phoneticPr fontId="5"/>
  </si>
  <si>
    <t>S・S.C.・ig</t>
    <phoneticPr fontId="12"/>
  </si>
  <si>
    <t>-</t>
    <phoneticPr fontId="5"/>
  </si>
  <si>
    <t>-</t>
    <phoneticPr fontId="5"/>
  </si>
  <si>
    <t>①顕熱負荷1 [W]</t>
    <phoneticPr fontId="5"/>
  </si>
  <si>
    <t>①顕熱負荷1 [W]</t>
    <phoneticPr fontId="5"/>
  </si>
  <si>
    <t>面積S[m2]</t>
    <phoneticPr fontId="5"/>
  </si>
  <si>
    <t>⊿t</t>
    <phoneticPr fontId="5"/>
  </si>
  <si>
    <t>S・U・⊿t</t>
    <phoneticPr fontId="5"/>
  </si>
  <si>
    <t>S・U・⊿t</t>
    <phoneticPr fontId="5"/>
  </si>
  <si>
    <t>S・U・⊿t</t>
    <phoneticPr fontId="5"/>
  </si>
  <si>
    <t>⊿t</t>
    <phoneticPr fontId="5"/>
  </si>
  <si>
    <t>S・U・⊿t</t>
    <phoneticPr fontId="5"/>
  </si>
  <si>
    <t>②顕熱負荷2 [W]</t>
    <phoneticPr fontId="5"/>
  </si>
  <si>
    <t>②顕熱負荷2 [W]</t>
    <phoneticPr fontId="5"/>
  </si>
  <si>
    <t>t-x基準</t>
    <phoneticPr fontId="5"/>
  </si>
  <si>
    <t>更衣室(M)</t>
  </si>
  <si>
    <t>9時-18時</t>
    <phoneticPr fontId="5"/>
  </si>
  <si>
    <t>h-t</t>
  </si>
  <si>
    <t>冷房設計
最大負荷
(顕熱負荷
により決定、
h-t基準
採用)
↓
↓
↓</t>
    <phoneticPr fontId="5"/>
  </si>
  <si>
    <t>暖房設計
最大負荷
(顕熱負荷
により決定、
t-Jh基準
採用)
↓
↓
↓</t>
    <phoneticPr fontId="5"/>
  </si>
  <si>
    <t>室NO</t>
    <phoneticPr fontId="5"/>
  </si>
  <si>
    <t>室名</t>
    <phoneticPr fontId="5"/>
  </si>
  <si>
    <t>更衣室(M)</t>
    <phoneticPr fontId="3"/>
  </si>
  <si>
    <t>内部負荷</t>
    <phoneticPr fontId="5"/>
  </si>
  <si>
    <t xml:space="preserve">qst0=13(1+Ct+Csr)Ag/Af+7=13×(1+ 0.00+0.00)×0.00 +7 = </t>
  </si>
  <si>
    <t xml:space="preserve">qst1=47(1+0.6Ct)Ag/Af+10=47×(1+0.6×0.00)×0.00 +10 = </t>
  </si>
  <si>
    <t xml:space="preserve">qst0=Cp(1+Ct)qbase0-20=1.00× (1+ 0.00 )× 56.6 -20= </t>
  </si>
  <si>
    <t xml:space="preserve">qst1=(1+1.8Ct-Csr)qbase1=(1+1.8× 0.00 - 0.00 )× 38.4 = </t>
  </si>
  <si>
    <t>天井高</t>
    <phoneticPr fontId="5"/>
  </si>
  <si>
    <t>面積S[m2]</t>
    <phoneticPr fontId="5"/>
  </si>
  <si>
    <t>遮蔽係数SC</t>
    <phoneticPr fontId="12"/>
  </si>
  <si>
    <t>ig</t>
    <phoneticPr fontId="5"/>
  </si>
  <si>
    <t>S・S.C.・ig</t>
    <phoneticPr fontId="12"/>
  </si>
  <si>
    <t>-</t>
    <phoneticPr fontId="5"/>
  </si>
  <si>
    <t>①顕熱負荷1 [W]</t>
    <phoneticPr fontId="5"/>
  </si>
  <si>
    <t>⊿t</t>
    <phoneticPr fontId="5"/>
  </si>
  <si>
    <t>S・U・⊿t</t>
    <phoneticPr fontId="5"/>
  </si>
  <si>
    <t>S・U・⊿t</t>
    <phoneticPr fontId="5"/>
  </si>
  <si>
    <t>⊿t</t>
    <phoneticPr fontId="5"/>
  </si>
  <si>
    <t>②顕熱負荷2 [W]</t>
    <phoneticPr fontId="5"/>
  </si>
  <si>
    <t>t-x基準</t>
    <phoneticPr fontId="5"/>
  </si>
  <si>
    <t>更衣室(F)</t>
  </si>
  <si>
    <t>9時-18時</t>
    <phoneticPr fontId="5"/>
  </si>
  <si>
    <t>Jc-t</t>
  </si>
  <si>
    <t>冷房設計
最大負荷
(顕熱負荷
により決定、
Jc-t基準
採用)
↓
↓
↓</t>
    <phoneticPr fontId="5"/>
  </si>
  <si>
    <t>暖房設計
最大負荷
(顕熱負荷
により決定、
t-Jh基準
採用)
↓
↓
↓</t>
    <phoneticPr fontId="5"/>
  </si>
  <si>
    <t>室NO</t>
    <phoneticPr fontId="5"/>
  </si>
  <si>
    <t>室名</t>
    <phoneticPr fontId="5"/>
  </si>
  <si>
    <t>更衣室(F)</t>
    <phoneticPr fontId="3"/>
  </si>
  <si>
    <t>夜間外気風量[m3/h]</t>
    <phoneticPr fontId="5"/>
  </si>
  <si>
    <t>容積</t>
    <phoneticPr fontId="5"/>
  </si>
  <si>
    <t>隙間風→→</t>
    <phoneticPr fontId="5"/>
  </si>
  <si>
    <t>内部負荷</t>
    <phoneticPr fontId="5"/>
  </si>
  <si>
    <t>取得熱量</t>
    <phoneticPr fontId="3"/>
  </si>
  <si>
    <t xml:space="preserve">qst0=Cp(1+Ct)qbase0-20=1.00× (1+ 0.00 )× 60.1 -20= </t>
  </si>
  <si>
    <t xml:space="preserve">qst1=(1+1.8Ct-Csr)qbase1=(1+1.8× 0.00 - 0.00 )× 39.4 = </t>
  </si>
  <si>
    <r>
      <t>qbase1=43(1-e</t>
    </r>
    <r>
      <rPr>
        <vertAlign val="superscript"/>
        <sz val="9"/>
        <rFont val="ＭＳ Ｐゴシック"/>
        <family val="3"/>
        <charset val="128"/>
      </rPr>
      <t>-0.70Kt</t>
    </r>
    <r>
      <rPr>
        <sz val="9"/>
        <rFont val="ＭＳ Ｐゴシック"/>
        <family val="3"/>
        <charset val="128"/>
      </rPr>
      <t>)[W/㎡]</t>
    </r>
    <phoneticPr fontId="5"/>
  </si>
  <si>
    <t>面積S[m2]</t>
    <phoneticPr fontId="5"/>
  </si>
  <si>
    <t>遮蔽係数SC</t>
    <phoneticPr fontId="12"/>
  </si>
  <si>
    <t>ig</t>
    <phoneticPr fontId="5"/>
  </si>
  <si>
    <t>S・S.C.・ig</t>
    <phoneticPr fontId="12"/>
  </si>
  <si>
    <t>-</t>
    <phoneticPr fontId="5"/>
  </si>
  <si>
    <t>-</t>
    <phoneticPr fontId="5"/>
  </si>
  <si>
    <t>①顕熱負荷1 [W]</t>
    <phoneticPr fontId="5"/>
  </si>
  <si>
    <t>面積S[m2]</t>
    <phoneticPr fontId="5"/>
  </si>
  <si>
    <t>S・U・⊿t</t>
    <phoneticPr fontId="5"/>
  </si>
  <si>
    <t>S・U・⊿t</t>
    <phoneticPr fontId="5"/>
  </si>
  <si>
    <t>⊿t</t>
    <phoneticPr fontId="5"/>
  </si>
  <si>
    <t>面積S[m2]</t>
    <phoneticPr fontId="5"/>
  </si>
  <si>
    <t>②顕熱負荷2 [W]</t>
    <phoneticPr fontId="5"/>
  </si>
  <si>
    <t>t-x基準</t>
    <phoneticPr fontId="5"/>
  </si>
  <si>
    <t>t-x基準</t>
    <phoneticPr fontId="5"/>
  </si>
  <si>
    <t>展示スペース</t>
  </si>
  <si>
    <t>9時-18時</t>
    <phoneticPr fontId="5"/>
  </si>
  <si>
    <t>冷房設計
最大負荷
(顕熱負荷
により決定、
Jc-t基準
採用)
↓
↓
↓</t>
    <phoneticPr fontId="5"/>
  </si>
  <si>
    <t>暖房設計
最大負荷
(顕熱負荷
により決定、
t-Jh基準
採用)
↓
↓
↓</t>
    <phoneticPr fontId="5"/>
  </si>
  <si>
    <t>室名</t>
    <phoneticPr fontId="5"/>
  </si>
  <si>
    <t>展示スペース</t>
    <phoneticPr fontId="3"/>
  </si>
  <si>
    <t>取得熱量</t>
    <phoneticPr fontId="3"/>
  </si>
  <si>
    <t>E</t>
    <phoneticPr fontId="3"/>
  </si>
  <si>
    <t>E,W</t>
    <phoneticPr fontId="3"/>
  </si>
  <si>
    <t xml:space="preserve">qst0=13(1+Ct+Csr)Ag/Af+7=13×(1+ 0.00+1.80)×0.10 +7 = </t>
  </si>
  <si>
    <t xml:space="preserve">qst1=47(1+0.6Ct)Ag/Af+10=47×(1+0.6×0.00)×0.10 +10 = </t>
  </si>
  <si>
    <t xml:space="preserve">qst0=Cp(1+Ct)qbase0-20=1.00× (1+ 0.00 )× 49.8 -20= </t>
  </si>
  <si>
    <t xml:space="preserve">qst1=(1+1.8Ct-Csr)qbase1=(1+1.8× 0.00 - 0.30 )× 36.0 = </t>
  </si>
  <si>
    <t>系統別集計表</t>
  </si>
  <si>
    <t xml:space="preserve">  空調機系統ごとに集計し、外気負荷を考慮した空調機の容量を求めています。</t>
  </si>
  <si>
    <t>[g/kg]</t>
    <phoneticPr fontId="12"/>
  </si>
  <si>
    <t>[kJ/kg]</t>
    <phoneticPr fontId="12"/>
  </si>
  <si>
    <t>[％]</t>
    <phoneticPr fontId="12"/>
  </si>
  <si>
    <t>[℃]</t>
    <phoneticPr fontId="12"/>
  </si>
  <si>
    <t>暖房</t>
    <rPh sb="0" eb="2">
      <t>ダンボウ</t>
    </rPh>
    <phoneticPr fontId="12"/>
  </si>
  <si>
    <t>冷房</t>
    <rPh sb="0" eb="2">
      <t>レイボウ</t>
    </rPh>
    <phoneticPr fontId="12"/>
  </si>
  <si>
    <t>合計</t>
    <phoneticPr fontId="12"/>
  </si>
  <si>
    <t>他ゾーンへ</t>
    <rPh sb="0" eb="1">
      <t>タ</t>
    </rPh>
    <phoneticPr fontId="36"/>
  </si>
  <si>
    <t>給気
風量</t>
    <rPh sb="0" eb="2">
      <t>キュウキ</t>
    </rPh>
    <rPh sb="3" eb="5">
      <t>フウリョウ</t>
    </rPh>
    <phoneticPr fontId="12"/>
  </si>
  <si>
    <t>顕熱負荷
より</t>
    <rPh sb="0" eb="2">
      <t>ケンネツ</t>
    </rPh>
    <rPh sb="2" eb="4">
      <t>フカ</t>
    </rPh>
    <phoneticPr fontId="36"/>
  </si>
  <si>
    <t>絶対湿度</t>
    <rPh sb="0" eb="2">
      <t>ゼッタイ</t>
    </rPh>
    <rPh sb="2" eb="4">
      <t>シツド</t>
    </rPh>
    <phoneticPr fontId="12"/>
  </si>
  <si>
    <t>比エンタルピ</t>
    <rPh sb="0" eb="1">
      <t>ヒ</t>
    </rPh>
    <phoneticPr fontId="12"/>
  </si>
  <si>
    <t>相対湿度</t>
    <rPh sb="0" eb="2">
      <t>ソウタイ</t>
    </rPh>
    <rPh sb="2" eb="4">
      <t>シツド</t>
    </rPh>
    <phoneticPr fontId="12"/>
  </si>
  <si>
    <t>乾球温度</t>
    <rPh sb="0" eb="2">
      <t>カンキュウ</t>
    </rPh>
    <rPh sb="2" eb="4">
      <t>オンド</t>
    </rPh>
    <phoneticPr fontId="12"/>
  </si>
  <si>
    <t>④給気
風量</t>
    <rPh sb="1" eb="3">
      <t>キュウキ</t>
    </rPh>
    <rPh sb="4" eb="6">
      <t>フウリョウ</t>
    </rPh>
    <phoneticPr fontId="12"/>
  </si>
  <si>
    <t>③換気回数より</t>
    <rPh sb="1" eb="3">
      <t>カンキ</t>
    </rPh>
    <rPh sb="3" eb="5">
      <t>カイスウ</t>
    </rPh>
    <phoneticPr fontId="36"/>
  </si>
  <si>
    <t>合計</t>
    <rPh sb="0" eb="2">
      <t>ゴウケイ</t>
    </rPh>
    <phoneticPr fontId="12"/>
  </si>
  <si>
    <t>潜熱
負荷</t>
    <phoneticPr fontId="12"/>
  </si>
  <si>
    <t>暖房時</t>
    <rPh sb="0" eb="2">
      <t>ダンボウ</t>
    </rPh>
    <rPh sb="2" eb="3">
      <t>ジ</t>
    </rPh>
    <phoneticPr fontId="12"/>
  </si>
  <si>
    <t>冷房時</t>
    <rPh sb="0" eb="2">
      <t>レイボウ</t>
    </rPh>
    <rPh sb="2" eb="3">
      <t>ジ</t>
    </rPh>
    <phoneticPr fontId="12"/>
  </si>
  <si>
    <t>換気
回数
[回/h]</t>
    <phoneticPr fontId="12"/>
  </si>
  <si>
    <t>送風量[㎥/h]</t>
    <phoneticPr fontId="36"/>
  </si>
  <si>
    <t>暖房負荷（最大値）[W]</t>
    <rPh sb="0" eb="2">
      <t>ダンボウ</t>
    </rPh>
    <rPh sb="5" eb="8">
      <t>サイダイチ</t>
    </rPh>
    <phoneticPr fontId="39"/>
  </si>
  <si>
    <t>再熱
負荷
[W]</t>
    <rPh sb="0" eb="1">
      <t>サイ</t>
    </rPh>
    <rPh sb="1" eb="2">
      <t>ネツ</t>
    </rPh>
    <phoneticPr fontId="36"/>
  </si>
  <si>
    <t>冷房負荷（最大値）[W]</t>
    <rPh sb="5" eb="8">
      <t>サイダイチ</t>
    </rPh>
    <phoneticPr fontId="39"/>
  </si>
  <si>
    <t>容積
[㎥]</t>
    <phoneticPr fontId="36"/>
  </si>
  <si>
    <t>天井高
[m]</t>
    <phoneticPr fontId="12"/>
  </si>
  <si>
    <t>面積
[㎡]</t>
    <phoneticPr fontId="12"/>
  </si>
  <si>
    <t>室　　　　名</t>
    <phoneticPr fontId="36"/>
  </si>
  <si>
    <t>端数切上前の
の風量[㎥/h]</t>
    <rPh sb="0" eb="2">
      <t>ハスウ</t>
    </rPh>
    <rPh sb="2" eb="4">
      <t>キリアゲ</t>
    </rPh>
    <rPh sb="4" eb="5">
      <t>マエ</t>
    </rPh>
    <rPh sb="8" eb="10">
      <t>フウリョウ</t>
    </rPh>
    <phoneticPr fontId="12"/>
  </si>
  <si>
    <t>実際の部屋の温湿度（設計時の給気温湿度条件を固定した場合の値）</t>
    <rPh sb="0" eb="2">
      <t>ジッサイ</t>
    </rPh>
    <rPh sb="3" eb="5">
      <t>ヘヤ</t>
    </rPh>
    <rPh sb="6" eb="9">
      <t>オンシツド</t>
    </rPh>
    <rPh sb="10" eb="13">
      <t>セッケイジ</t>
    </rPh>
    <rPh sb="14" eb="16">
      <t>キュウキ</t>
    </rPh>
    <rPh sb="16" eb="19">
      <t>オンシツド</t>
    </rPh>
    <rPh sb="19" eb="21">
      <t>ジョウケン</t>
    </rPh>
    <rPh sb="22" eb="24">
      <t>コテイ</t>
    </rPh>
    <rPh sb="26" eb="28">
      <t>バアイ</t>
    </rPh>
    <rPh sb="29" eb="30">
      <t>アタイ</t>
    </rPh>
    <phoneticPr fontId="12"/>
  </si>
  <si>
    <t>設計時の部屋の温湿度</t>
    <rPh sb="0" eb="3">
      <t>セッケイジ</t>
    </rPh>
    <rPh sb="4" eb="6">
      <t>ヘヤ</t>
    </rPh>
    <rPh sb="7" eb="10">
      <t>オンシツド</t>
    </rPh>
    <phoneticPr fontId="12"/>
  </si>
  <si>
    <t>データチェック用の欄</t>
    <rPh sb="7" eb="8">
      <t>ヨウ</t>
    </rPh>
    <rPh sb="9" eb="10">
      <t>ラン</t>
    </rPh>
    <phoneticPr fontId="12"/>
  </si>
  <si>
    <t>AC-2系統熱負荷集計および風量一覧表</t>
  </si>
  <si>
    <t>ドライコイルユニット記号</t>
    <phoneticPr fontId="12"/>
  </si>
  <si>
    <t>DRC-202</t>
  </si>
  <si>
    <t>DRC-203</t>
  </si>
  <si>
    <t>合　　　計</t>
  </si>
  <si>
    <t>顕熱
負荷</t>
  </si>
  <si>
    <t>吹出し温度差[K]</t>
    <phoneticPr fontId="36"/>
  </si>
  <si>
    <t>①外気
処理側</t>
    <phoneticPr fontId="36"/>
  </si>
  <si>
    <t>②ドライ
コイル側</t>
    <phoneticPr fontId="36"/>
  </si>
  <si>
    <t>注：吹出温度差は風量計算用の値で、実際の値ではありません。</t>
  </si>
  <si>
    <t>26.0[℃]
(26.0[℃])</t>
    <phoneticPr fontId="3"/>
  </si>
  <si>
    <t>50[％]
(50[％])</t>
    <phoneticPr fontId="3"/>
  </si>
  <si>
    <t>53.0[kJ/kg]
(53.2[kJ/kg])</t>
    <phoneticPr fontId="3"/>
  </si>
  <si>
    <t>10.5[g/kg]
(10.6[g/kg])</t>
    <phoneticPr fontId="3"/>
  </si>
  <si>
    <t>冷房設計温湿度目標値（( )内は空調機設計条件における実際値）</t>
    <phoneticPr fontId="5"/>
  </si>
  <si>
    <t>26.0[℃]
(26.0[℃])</t>
    <phoneticPr fontId="3"/>
  </si>
  <si>
    <t>50[％]
(50[％])</t>
    <phoneticPr fontId="3"/>
  </si>
  <si>
    <t>53.0[kJ/kg]
(53.2[kJ/kg])</t>
    <phoneticPr fontId="3"/>
  </si>
  <si>
    <t>22.0[℃]
(22.0[℃])</t>
    <phoneticPr fontId="3"/>
  </si>
  <si>
    <t>40[％]
(40[％])</t>
    <phoneticPr fontId="3"/>
  </si>
  <si>
    <t>38.9[kJ/kg]
(38.9[kJ/kg])</t>
    <phoneticPr fontId="3"/>
  </si>
  <si>
    <t>6.6[g/kg]
(6.6[g/kg])</t>
    <phoneticPr fontId="3"/>
  </si>
  <si>
    <t>暖房設計温湿度目標値（( )内は空調機設計条件における実際値）</t>
    <phoneticPr fontId="5"/>
  </si>
  <si>
    <t>外気風量[㎥/h]</t>
    <phoneticPr fontId="5"/>
  </si>
  <si>
    <t>外気風量[㎥/h]</t>
    <phoneticPr fontId="5"/>
  </si>
  <si>
    <t>外気負荷 [W]</t>
    <phoneticPr fontId="5"/>
  </si>
  <si>
    <t>外気風量×1.2×⊿h[kJ/kg]/3.6</t>
  </si>
  <si>
    <t>系統別集計表参照</t>
    <phoneticPr fontId="3"/>
  </si>
  <si>
    <t>全負荷 [W]</t>
    <phoneticPr fontId="5"/>
  </si>
  <si>
    <t>加湿量[kg/h]</t>
    <phoneticPr fontId="5"/>
  </si>
  <si>
    <t>外気風量×1.2×⊿x[g/kg]/1000</t>
  </si>
  <si>
    <t>26.0[℃]
(26.0[℃])</t>
    <phoneticPr fontId="3"/>
  </si>
  <si>
    <t>50[％]
(49[％])</t>
    <phoneticPr fontId="3"/>
  </si>
  <si>
    <t>53.0[kJ/kg]
(52.7[kJ/kg])</t>
    <phoneticPr fontId="3"/>
  </si>
  <si>
    <t>10.5[g/kg]
(10.4[g/kg])</t>
    <phoneticPr fontId="3"/>
  </si>
  <si>
    <t>冷房設計温湿度目標値（( )内は空調機設計条件における実際値）</t>
    <phoneticPr fontId="5"/>
  </si>
  <si>
    <t>50[％]
(49[％])</t>
    <phoneticPr fontId="3"/>
  </si>
  <si>
    <t>53.0[kJ/kg]
(52.7[kJ/kg])</t>
    <phoneticPr fontId="3"/>
  </si>
  <si>
    <t>10.5[g/kg]
(10.4[g/kg])</t>
    <phoneticPr fontId="3"/>
  </si>
  <si>
    <t>冷房設計温湿度目標値（( )内は空調機設計条件における実際値）</t>
    <phoneticPr fontId="5"/>
  </si>
  <si>
    <t>53.0[kJ/kg]
(52.7[kJ/kg])</t>
    <phoneticPr fontId="3"/>
  </si>
  <si>
    <t>22.0[℃]
(19.6[℃])</t>
    <phoneticPr fontId="3"/>
  </si>
  <si>
    <t>40[％]
(46[％])</t>
    <phoneticPr fontId="3"/>
  </si>
  <si>
    <t>38.9[kJ/kg]
(36.5[kJ/kg])</t>
    <phoneticPr fontId="3"/>
  </si>
  <si>
    <t>6.6[g/kg]
(6.6[g/kg])</t>
    <phoneticPr fontId="3"/>
  </si>
  <si>
    <t>暖房設計温湿度目標値（( )内は空調機設計条件における実際値）</t>
    <phoneticPr fontId="5"/>
  </si>
  <si>
    <t>外気風量[㎥/h]</t>
    <phoneticPr fontId="5"/>
  </si>
  <si>
    <t>26.0[℃]
(26.0[℃])</t>
    <phoneticPr fontId="3"/>
  </si>
  <si>
    <t>50[％]
(49[％])</t>
    <phoneticPr fontId="3"/>
  </si>
  <si>
    <t>53.0[kJ/kg]
(52.7[kJ/kg])</t>
    <phoneticPr fontId="3"/>
  </si>
  <si>
    <t>10.5[g/kg]
(10.4[g/kg])</t>
    <phoneticPr fontId="3"/>
  </si>
  <si>
    <t>50[％]
(49[％])</t>
    <phoneticPr fontId="3"/>
  </si>
  <si>
    <t>26.0[℃]
(26.0[℃])</t>
    <phoneticPr fontId="3"/>
  </si>
  <si>
    <t>50[％]
(49[％])</t>
    <phoneticPr fontId="3"/>
  </si>
  <si>
    <t>53.0[kJ/kg]
(52.7[kJ/kg])</t>
    <phoneticPr fontId="3"/>
  </si>
  <si>
    <t>22.0[℃]
(21.4[℃])</t>
    <phoneticPr fontId="3"/>
  </si>
  <si>
    <t>40[％]
(42[％])</t>
    <phoneticPr fontId="3"/>
  </si>
  <si>
    <t>38.9[kJ/kg]
(38.2[kJ/kg])</t>
    <phoneticPr fontId="3"/>
  </si>
  <si>
    <t>50[％]
(49[％])</t>
    <phoneticPr fontId="3"/>
  </si>
  <si>
    <t>53.0[kJ/kg]
(52.7[kJ/kg])</t>
    <phoneticPr fontId="3"/>
  </si>
  <si>
    <t>冷房設計温湿度目標値（( )内は空調機設計条件における実際値）</t>
    <phoneticPr fontId="5"/>
  </si>
  <si>
    <t>22.0[℃]
(22.8[℃])</t>
    <phoneticPr fontId="3"/>
  </si>
  <si>
    <t>40[％]
(38[％])</t>
    <phoneticPr fontId="3"/>
  </si>
  <si>
    <t>38.9[kJ/kg]
(39.7[kJ/kg])</t>
    <phoneticPr fontId="3"/>
  </si>
  <si>
    <t>DRC-202系統の冷房時顕熱比= 0.95[-]</t>
  </si>
  <si>
    <t>その他の負荷</t>
  </si>
  <si>
    <t>■外気処理ユニットのファンによる発熱負荷</t>
  </si>
  <si>
    <t>■ドライコイルユニットのファンによる発熱負荷</t>
  </si>
  <si>
    <t>ファンによる温度上昇=500/(1.006×1.2×1000×(60/100))≒0.69[K]</t>
  </si>
  <si>
    <t>ファンによる温度上昇=300/(1.006×1.2×1000×(60/100))≒0.42[K]</t>
  </si>
  <si>
    <t>発熱負荷=530×0.69×1.006×1.2×(1000 / 3600)≒123[W]</t>
  </si>
  <si>
    <t>発熱負荷=3,900×0.42×1.006×1.2×(1000 / 3600)≒549[W]</t>
  </si>
  <si>
    <t>■デシカント除湿により増減した外気(外気処理ユニット)冷却負荷と増減した室内(ドライコイルユニット)冷却負荷</t>
  </si>
  <si>
    <t>冷房時室内比エンタルピ - 冷房時外気側ファン出口比エンタルピ=53.0-50.1=2.9[kJ/kg]</t>
  </si>
  <si>
    <t>冷房時室内比エンタルピ - 冷房時外気処理ユニット出口比エンタルピ=53.0-52.3=0.7[kJ/kg]</t>
  </si>
  <si>
    <t>増減した外気(外気処理ユニット)冷却負荷=530×2.9×1.2×(1000 / 3600)≒512[W]</t>
  </si>
  <si>
    <t>増減した室内(ドライコイルユニット)冷却負荷=530×0.7×1.2×(1000 / 3600)≒124[W]</t>
  </si>
  <si>
    <t>■デシカント水分回収により増減した外気(外気処理ユニット)加熱負荷と増減した室内(ドライコイルユニット)加熱負荷</t>
  </si>
  <si>
    <t>暖房時予熱コイル出口エンタルピ - 暖房時室内比エンタルピ=45.9-38.9=7.0[kJ/kg]</t>
  </si>
  <si>
    <t>増減した外気(外気処理ユニット)加熱負荷=530×7.0×1.2×(1000 / 3600)≒1,237[W]</t>
  </si>
  <si>
    <t>■暖房時、デシカントにより回収する（加湿を補助する）水分量</t>
  </si>
  <si>
    <t>デシカントローター出口絶対湿度 - 外気絶対湿度=0.0025-0.0014=0.0011[kg/kg]　　　　暖房時に回収する水分量=530×0.0011×1.2≒0.7[kg]</t>
  </si>
  <si>
    <t>外気条件，システム条件など</t>
    <rPh sb="0" eb="2">
      <t>ガイキ</t>
    </rPh>
    <rPh sb="2" eb="4">
      <t>ジョウケン</t>
    </rPh>
    <rPh sb="9" eb="11">
      <t>ジョウケン</t>
    </rPh>
    <phoneticPr fontId="12"/>
  </si>
  <si>
    <t>湿り空気 h-x 線図
大気圧 101.325[kPa]</t>
  </si>
  <si>
    <t xml:space="preserve"> </t>
  </si>
  <si>
    <t>①：外気(冷房)</t>
  </si>
  <si>
    <t>②：外気処理コイル出口(冷房)</t>
  </si>
  <si>
    <t>③：外気側ファン出口(冷房)</t>
  </si>
  <si>
    <t>④：デシカントロータ出口(冷房)</t>
  </si>
  <si>
    <t>⑤：顕熱交換機出口(冷房)</t>
  </si>
  <si>
    <t>　 =外気処理ユニット出口(冷房)</t>
  </si>
  <si>
    <t>⑥：処理外気-還気</t>
  </si>
  <si>
    <t>　 混合点=ドライコイル入口(冷房)</t>
  </si>
  <si>
    <t>⑦：ドライコイル出口(冷房)</t>
  </si>
  <si>
    <t>⑧：ドライコイルユニット出口(冷房)</t>
  </si>
  <si>
    <t>　 (DRC-202系統 の場合)</t>
  </si>
  <si>
    <t>⑨：室内(冷房・DRC-202系統 の場合)</t>
  </si>
  <si>
    <t>⑩：再生コイル入口(冷房)</t>
  </si>
  <si>
    <t>　 =顕熱交換機排気側(設計値)</t>
  </si>
  <si>
    <t>⑪：再生コイル出口(冷房・設計値)</t>
  </si>
  <si>
    <t>⑫：系統全体の排気(冷房・設計値)</t>
  </si>
  <si>
    <t>A：理論除湿限界ポイント(冷房)</t>
  </si>
  <si>
    <t>⑬：外気(暖房)</t>
  </si>
  <si>
    <t>⑭：予熱コイル出口</t>
  </si>
  <si>
    <t>⑮：外気側</t>
  </si>
  <si>
    <t>　 デシカントロータ出口(暖房)</t>
  </si>
  <si>
    <t>⑯：外気処理ユニット出口(暖房)</t>
  </si>
  <si>
    <t>⑰：処理外気-還気</t>
  </si>
  <si>
    <t>　 混合点=ドライコイル入口(暖房)</t>
  </si>
  <si>
    <t>⑱：ドライコイルユニット出口(暖房)</t>
  </si>
  <si>
    <t>⑲：室内(暖房・DRC-202系統 の場合)</t>
  </si>
  <si>
    <t>B：理論除湿限界ポイント(暖房)</t>
  </si>
  <si>
    <t>凡例</t>
    <phoneticPr fontId="3"/>
  </si>
  <si>
    <t>■冷房設計用外気条件：33.7[℃]，56[％](h-t基準)，暖房設計用外気条件：2.0[℃]，32[％](t-x基準)，排気風量/外気風量：0.8[-]，外気比：0.08[-](DRC-202系統 の場合)</t>
  </si>
  <si>
    <t>■空調機形式：循環式 ，除湿制御：あり(分離形デシカントシステム) ，加湿制御：あり(滴下浸透式)</t>
  </si>
  <si>
    <t>■デシカント冷房時発現率=50[％]，顕熱交換効率=62.5[％]，暖房時発現率=25[％]，顕熱交換効率=62.5[％] ，顕熱交換機効率=70[％]（冷房時のみ）</t>
  </si>
  <si>
    <t>AC-2系統空気線図</t>
  </si>
  <si>
    <t>　設計風量</t>
  </si>
  <si>
    <r>
      <t>デシカント外気処理ユニット外気風量=530[m</t>
    </r>
    <r>
      <rPr>
        <vertAlign val="superscript"/>
        <sz val="9"/>
        <rFont val="ＭＳ Ｐゴシック"/>
        <family val="3"/>
        <charset val="128"/>
      </rPr>
      <t>3</t>
    </r>
    <r>
      <rPr>
        <sz val="9"/>
        <rFont val="ＭＳ Ｐゴシック"/>
        <family val="3"/>
        <charset val="128"/>
      </rPr>
      <t>/h]</t>
    </r>
  </si>
  <si>
    <r>
      <t>デシカント外気処理ユニット余剰排気風量=430[m</t>
    </r>
    <r>
      <rPr>
        <vertAlign val="superscript"/>
        <sz val="9"/>
        <rFont val="ＭＳ Ｐゴシック"/>
        <family val="3"/>
        <charset val="128"/>
      </rPr>
      <t>3</t>
    </r>
    <r>
      <rPr>
        <sz val="9"/>
        <rFont val="ＭＳ Ｐゴシック"/>
        <family val="3"/>
        <charset val="128"/>
      </rPr>
      <t>/h]</t>
    </r>
  </si>
  <si>
    <r>
      <t>代表ドライコイルユニット(DRC-202系統)の風量=2,310[m</t>
    </r>
    <r>
      <rPr>
        <vertAlign val="superscript"/>
        <sz val="9"/>
        <rFont val="ＭＳ Ｐゴシック"/>
        <family val="3"/>
        <charset val="128"/>
      </rPr>
      <t>3</t>
    </r>
    <r>
      <rPr>
        <sz val="9"/>
        <rFont val="ＭＳ Ｐゴシック"/>
        <family val="3"/>
        <charset val="128"/>
      </rPr>
      <t>/h]</t>
    </r>
  </si>
  <si>
    <t>　冷房関連</t>
  </si>
  <si>
    <t>■外気処理ユニット予冷コイル容量(①→②のプロセス)</t>
  </si>
  <si>
    <r>
      <t>530[m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]×(81.6 - 49.4)[kJ/kg] / 3600[sec/h] ≒ 5.7[kW]</t>
    </r>
  </si>
  <si>
    <t>入口空気条件：乾球温度= 33.7[℃]，湿球温度= 26.2[℃]</t>
  </si>
  <si>
    <t>■外気処理ユニット再生コイル容量(⑩→⑪のプロセス)</t>
  </si>
  <si>
    <r>
      <t>430[m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]×(53.27 - 34.73)[K] / 3600[sec/h] ≒ 2.7[kW]</t>
    </r>
  </si>
  <si>
    <t>入口空気条件：乾球温度= 34.7[℃]，湿球温度= 21.3[℃]</t>
  </si>
  <si>
    <t>■ドライコイルユニット冷却容量(⑥→⑦のプロセス、DRC-202系統 の場合)</t>
  </si>
  <si>
    <r>
      <t>2,310[m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</si>
  <si>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×(26.35 - 17.50)[K] / 3600[sec/h] ≒ 6.9[kW]</t>
  </si>
  <si>
    <t>入口空気条件：乾球温度= 26.4[℃]，湿球温度= 18.7[℃]</t>
  </si>
  <si>
    <t>　暖房関連</t>
  </si>
  <si>
    <t>■外気処理ユニット外気予熱コイル容量(⑬→⑭のプロセス)</t>
  </si>
  <si>
    <r>
      <t>530[m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</si>
  <si>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×(42.00 - 2.00)[K] / 3600[sec/h] ≒ 7.1[kW]</t>
  </si>
  <si>
    <t>入口空気条件：乾球温度= 2.0[℃]，湿球温度= -2.6[℃]</t>
  </si>
  <si>
    <t>■外気処理ユニット加湿器容量(定常時、⑮→⑯のプロセス)</t>
  </si>
  <si>
    <r>
      <t>530[m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]×(0.0066 - 0.0025)[kg/kg] ≒ 2.6[kg/h]</t>
    </r>
  </si>
  <si>
    <t>入口空気条件：乾球温度= 32.0[℃]，絶対湿度= 0.0025[kg/kg]</t>
  </si>
  <si>
    <t>■外気処理ユニット加湿器容量(立上時、⑬の絶対湿度→⑯の絶対湿度のプロセス)</t>
  </si>
  <si>
    <r>
      <t>530[m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]×(0.0066 - 0.0014)[kg/kg] ≒ 3.3[kg/h]</t>
    </r>
  </si>
  <si>
    <t>入口空気条件：乾球温度= 2.0[℃]，絶対湿度= 0.0014[kg/kg]</t>
  </si>
  <si>
    <t>■ドライコイルユニット加熱容量(⑰→⑱のプロセス、DRC-202系統 の場合)</t>
  </si>
  <si>
    <t>　×(30.12 - 22.00)[K] / 3600[sec/h] ≒ 6.3[kW]</t>
  </si>
  <si>
    <t>入口空気条件：乾球温度= 22.0[℃]，湿球温度= 13.9[℃]</t>
  </si>
  <si>
    <t>　注記</t>
  </si>
  <si>
    <t>■②→③，⑦→⑧のプロセスはファン、ダクト系の摩擦熱による温度上昇を示します。</t>
  </si>
  <si>
    <t>■各コイルなどの容量および加湿容量の値は小数第二位で切り上げています。</t>
  </si>
  <si>
    <t>■乾き空気の密度は厳密には乾球温度により変化しますが、</t>
  </si>
  <si>
    <r>
      <t>　 計算時は乾球温度約 20[℃]のときの値 1.2[kg/m</t>
    </r>
    <r>
      <rPr>
        <vertAlign val="superscript"/>
        <sz val="9"/>
        <rFont val="ＭＳ Ｐゴシック"/>
        <family val="3"/>
        <charset val="128"/>
      </rPr>
      <t>3</t>
    </r>
    <r>
      <rPr>
        <sz val="9"/>
        <rFont val="ＭＳ Ｐゴシック"/>
        <family val="3"/>
        <charset val="128"/>
      </rPr>
      <t>] としています。</t>
    </r>
  </si>
  <si>
    <t>■乾き空気の定圧比熱も同様に一定値 1.006[kJ/kg･K] としています。</t>
  </si>
  <si>
    <t>AC-2系統空調機容量の計算</t>
  </si>
  <si>
    <t>[kW]</t>
    <phoneticPr fontId="12"/>
  </si>
  <si>
    <t>[W]</t>
    <phoneticPr fontId="12"/>
  </si>
  <si>
    <t>湿球温度</t>
    <rPh sb="0" eb="4">
      <t>シッキュウオンド</t>
    </rPh>
    <phoneticPr fontId="36"/>
  </si>
  <si>
    <t>出口乾球温度</t>
    <rPh sb="0" eb="2">
      <t>デグチ</t>
    </rPh>
    <rPh sb="2" eb="4">
      <t>カンキュウ</t>
    </rPh>
    <rPh sb="4" eb="6">
      <t>オンド</t>
    </rPh>
    <phoneticPr fontId="12"/>
  </si>
  <si>
    <t>入口</t>
    <rPh sb="0" eb="2">
      <t>イリグチ</t>
    </rPh>
    <phoneticPr fontId="12"/>
  </si>
  <si>
    <t>容量</t>
    <rPh sb="0" eb="2">
      <t>ヨウリョウ</t>
    </rPh>
    <phoneticPr fontId="12"/>
  </si>
  <si>
    <t>温度差
[K]</t>
    <rPh sb="0" eb="3">
      <t>オンドサ</t>
    </rPh>
    <phoneticPr fontId="12"/>
  </si>
  <si>
    <t>出入口温度[℃]</t>
  </si>
  <si>
    <t>備考</t>
    <rPh sb="0" eb="2">
      <t>ビコウ</t>
    </rPh>
    <phoneticPr fontId="12"/>
  </si>
  <si>
    <t>暖房時加熱容量</t>
    <rPh sb="0" eb="2">
      <t>ダンボウ</t>
    </rPh>
    <rPh sb="2" eb="3">
      <t>ジ</t>
    </rPh>
    <rPh sb="3" eb="5">
      <t>カネツ</t>
    </rPh>
    <rPh sb="5" eb="7">
      <t>ヨウリョウ</t>
    </rPh>
    <phoneticPr fontId="36"/>
  </si>
  <si>
    <t>冷房時冷却容量</t>
    <rPh sb="0" eb="2">
      <t>レイボウ</t>
    </rPh>
    <rPh sb="2" eb="3">
      <t>ジ</t>
    </rPh>
    <rPh sb="3" eb="5">
      <t>レイキャク</t>
    </rPh>
    <rPh sb="5" eb="7">
      <t>ヨウリョウ</t>
    </rPh>
    <phoneticPr fontId="36"/>
  </si>
  <si>
    <r>
      <t>風量
[m</t>
    </r>
    <r>
      <rPr>
        <vertAlign val="superscript"/>
        <sz val="9"/>
        <rFont val="ＭＳ Ｐゴシック"/>
        <family val="3"/>
        <charset val="128"/>
      </rPr>
      <t>3</t>
    </r>
    <r>
      <rPr>
        <sz val="9"/>
        <rFont val="ＭＳ Ｐゴシック"/>
        <family val="3"/>
        <charset val="128"/>
      </rPr>
      <t>/h]</t>
    </r>
    <rPh sb="0" eb="2">
      <t>フウリョウ</t>
    </rPh>
    <phoneticPr fontId="36"/>
  </si>
  <si>
    <t>室　　　　名</t>
    <phoneticPr fontId="36"/>
  </si>
  <si>
    <t>AC-2系統ドライコイルユニット容量計算表</t>
  </si>
  <si>
    <t>DRC-202系統</t>
  </si>
  <si>
    <t>DRC-202系統合計</t>
  </si>
  <si>
    <t>DRC-203系統</t>
  </si>
  <si>
    <t>DRC-203系統合計</t>
  </si>
  <si>
    <t>熱源集計表</t>
  </si>
  <si>
    <t xml:space="preserve">  熱源負荷を集計しています。</t>
  </si>
  <si>
    <t>冷房負荷[W]</t>
    <phoneticPr fontId="39"/>
  </si>
  <si>
    <t>面積
[㎡]</t>
    <phoneticPr fontId="12"/>
  </si>
  <si>
    <t>R-1系統冷熱源集計表</t>
  </si>
  <si>
    <t>■AC-2系統 外気処理側 (同系統セット数=1)</t>
  </si>
  <si>
    <t>ファン発熱負荷</t>
  </si>
  <si>
    <t>デシカント除湿により増減した外気冷却負荷</t>
  </si>
  <si>
    <t>AC-2系統合計</t>
  </si>
  <si>
    <t>■AC-2系統 ドライコイル側 (同系統セット数=1)</t>
  </si>
  <si>
    <t>デシカント外気処理ユニットにより増減した冷却負荷</t>
  </si>
  <si>
    <t>h-t基準合計</t>
    <phoneticPr fontId="3"/>
  </si>
  <si>
    <t>Jc-t基準合計</t>
    <phoneticPr fontId="3"/>
  </si>
  <si>
    <t>Js-t基準合計</t>
    <phoneticPr fontId="3"/>
  </si>
  <si>
    <t>最大値(h-t基準，13時)を含む基準</t>
  </si>
  <si>
    <t>上記÷1000 [kW] (小数点以下切上げ)</t>
  </si>
  <si>
    <r>
      <t>単位負荷[W/m</t>
    </r>
    <r>
      <rPr>
        <b/>
        <vertAlign val="superscript"/>
        <sz val="9"/>
        <rFont val="ＭＳ Ｐゴシック"/>
        <family val="3"/>
        <charset val="128"/>
      </rPr>
      <t>2</t>
    </r>
    <r>
      <rPr>
        <b/>
        <sz val="9"/>
        <rFont val="ＭＳ Ｐゴシック"/>
        <family val="3"/>
        <charset val="128"/>
      </rPr>
      <t>] (小数点以下四捨五入)</t>
    </r>
  </si>
  <si>
    <t>冷房負荷[W]</t>
    <phoneticPr fontId="39"/>
  </si>
  <si>
    <t>B-1系統再熱・再生熱源集計表</t>
  </si>
  <si>
    <t>デシカントローター再生熱源</t>
  </si>
  <si>
    <t>最大値(h-t基準，9時)を含む基準</t>
  </si>
  <si>
    <t>暖房負荷[W]</t>
    <rPh sb="0" eb="2">
      <t>ダンボウ</t>
    </rPh>
    <phoneticPr fontId="39"/>
  </si>
  <si>
    <t>R-1系統温熱源集計表</t>
  </si>
  <si>
    <t>デシカント水分回収により増減した外気加熱負荷</t>
  </si>
  <si>
    <t>総　合　計</t>
  </si>
  <si>
    <t>一時側
蒸気量
[kg/h]</t>
    <rPh sb="0" eb="2">
      <t>イチジ</t>
    </rPh>
    <rPh sb="2" eb="3">
      <t>ガワ</t>
    </rPh>
    <rPh sb="4" eb="6">
      <t>ジョウキ</t>
    </rPh>
    <rPh sb="6" eb="7">
      <t>リョウ</t>
    </rPh>
    <phoneticPr fontId="36"/>
  </si>
  <si>
    <t>蒸気量
[kg/h]</t>
    <rPh sb="0" eb="2">
      <t>ジョウキ</t>
    </rPh>
    <rPh sb="2" eb="3">
      <t>リョウ</t>
    </rPh>
    <phoneticPr fontId="36"/>
  </si>
  <si>
    <t>給水量
[kg/h]</t>
    <rPh sb="0" eb="2">
      <t>キュウスイ</t>
    </rPh>
    <rPh sb="2" eb="3">
      <t>リョウ</t>
    </rPh>
    <phoneticPr fontId="36"/>
  </si>
  <si>
    <t>加湿量
[kg/h]</t>
    <rPh sb="0" eb="2">
      <t>カシツ</t>
    </rPh>
    <rPh sb="2" eb="3">
      <t>リョウ</t>
    </rPh>
    <phoneticPr fontId="36"/>
  </si>
  <si>
    <t>熱交換
効率
[％]</t>
    <rPh sb="0" eb="3">
      <t>ネツコウカン</t>
    </rPh>
    <rPh sb="4" eb="6">
      <t>コウリツ</t>
    </rPh>
    <phoneticPr fontId="36"/>
  </si>
  <si>
    <t>一時側蒸気
蒸発潜熱
[kJ/kg]</t>
    <rPh sb="0" eb="2">
      <t>イチジ</t>
    </rPh>
    <rPh sb="2" eb="3">
      <t>ガワ</t>
    </rPh>
    <rPh sb="3" eb="5">
      <t>ジョウキ</t>
    </rPh>
    <rPh sb="6" eb="8">
      <t>ジョウハツ</t>
    </rPh>
    <rPh sb="8" eb="10">
      <t>センネツ</t>
    </rPh>
    <phoneticPr fontId="36"/>
  </si>
  <si>
    <t>加湿蒸気
比エンタルピ
[kJ/kg]</t>
    <rPh sb="0" eb="2">
      <t>カシツ</t>
    </rPh>
    <rPh sb="2" eb="4">
      <t>ジョウキ</t>
    </rPh>
    <rPh sb="5" eb="6">
      <t>ヒ</t>
    </rPh>
    <phoneticPr fontId="36"/>
  </si>
  <si>
    <t>給水有効
利用率
[％]</t>
    <rPh sb="0" eb="2">
      <t>キュウスイ</t>
    </rPh>
    <rPh sb="2" eb="4">
      <t>ユウコウ</t>
    </rPh>
    <rPh sb="5" eb="7">
      <t>リヨウ</t>
    </rPh>
    <rPh sb="7" eb="8">
      <t>リツ</t>
    </rPh>
    <phoneticPr fontId="36"/>
  </si>
  <si>
    <t>加湿器
種別</t>
    <rPh sb="0" eb="2">
      <t>カシツ</t>
    </rPh>
    <rPh sb="2" eb="3">
      <t>キ</t>
    </rPh>
    <rPh sb="4" eb="6">
      <t>シュベツ</t>
    </rPh>
    <phoneticPr fontId="36"/>
  </si>
  <si>
    <t>加湿量、給水量、蒸気量、一時側蒸気量</t>
    <rPh sb="0" eb="2">
      <t>カシツ</t>
    </rPh>
    <rPh sb="2" eb="3">
      <t>リョウ</t>
    </rPh>
    <rPh sb="4" eb="6">
      <t>キュウスイ</t>
    </rPh>
    <rPh sb="6" eb="7">
      <t>リョウ</t>
    </rPh>
    <rPh sb="8" eb="10">
      <t>ジョウキ</t>
    </rPh>
    <rPh sb="10" eb="11">
      <t>リョウ</t>
    </rPh>
    <rPh sb="12" eb="14">
      <t>イチジ</t>
    </rPh>
    <rPh sb="14" eb="15">
      <t>ガワ</t>
    </rPh>
    <rPh sb="15" eb="17">
      <t>ジョウキ</t>
    </rPh>
    <rPh sb="17" eb="18">
      <t>リョウ</t>
    </rPh>
    <phoneticPr fontId="12"/>
  </si>
  <si>
    <t>加湿器仕様</t>
    <rPh sb="0" eb="2">
      <t>カシツ</t>
    </rPh>
    <rPh sb="2" eb="3">
      <t>キ</t>
    </rPh>
    <rPh sb="3" eb="5">
      <t>シヨウ</t>
    </rPh>
    <phoneticPr fontId="12"/>
  </si>
  <si>
    <t>市水系統加湿源集計表</t>
  </si>
  <si>
    <t>滴下浸透式</t>
  </si>
  <si>
    <t>デシカント外気処理ユニットによる回収水分量</t>
  </si>
  <si>
    <r>
      <t>単位負荷[g/m</t>
    </r>
    <r>
      <rPr>
        <b/>
        <vertAlign val="superscript"/>
        <sz val="9"/>
        <rFont val="ＭＳ Ｐゴシック"/>
        <family val="3"/>
        <charset val="128"/>
      </rPr>
      <t>2</t>
    </r>
    <r>
      <rPr>
        <b/>
        <sz val="9"/>
        <rFont val="ＭＳ Ｐゴシック"/>
        <family val="3"/>
        <charset val="128"/>
      </rPr>
      <t>] (小数点以下四捨五入)</t>
    </r>
  </si>
  <si>
    <t>表紙</t>
  </si>
  <si>
    <t>某社</t>
    <phoneticPr fontId="3"/>
  </si>
  <si>
    <t>某プロジェクト</t>
    <phoneticPr fontId="3"/>
  </si>
  <si>
    <t>空調換気設備</t>
    <phoneticPr fontId="3"/>
  </si>
  <si>
    <t>熱負荷計算書</t>
    <phoneticPr fontId="3"/>
  </si>
  <si>
    <t>私の会社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</si>
</sst>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176" formatCode=";;;"/>
    <numFmt numFmtId="177" formatCode="0.0"/>
    <numFmt numFmtId="178" formatCode="##&quot;時&quot;"/>
    <numFmt numFmtId="179" formatCode="0.0;\-0.0;&quot;-&quot;;"/>
    <numFmt numFmtId="180" formatCode="0.0_);[Red]\(0.0\)"/>
    <numFmt numFmtId="181" formatCode="0.0_ "/>
    <numFmt numFmtId="182" formatCode="##&quot;m&quot;"/>
    <numFmt numFmtId="183" formatCode="##&quot;時&quot;;;"/>
    <numFmt numFmtId="184" formatCode="##&quot;:00&quot;"/>
    <numFmt numFmtId="185" formatCode="0.000_ "/>
    <numFmt numFmtId="186" formatCode="0.00&quot;㎡&quot;"/>
    <numFmt numFmtId="187" formatCode="#,##0_ "/>
    <numFmt numFmtId="188" formatCode="0.000"/>
    <numFmt numFmtId="189" formatCode=";;"/>
    <numFmt numFmtId="190" formatCode="0.00&quot;[㎡]&quot;;;"/>
    <numFmt numFmtId="191" formatCode="0.0\ &quot;[m]&quot;;;"/>
    <numFmt numFmtId="192" formatCode="0.0\ &quot;[㎥]&quot;;;"/>
    <numFmt numFmtId="193" formatCode="#,###"/>
    <numFmt numFmtId="194" formatCode="0.0&quot;[℃]&quot;;\-0.0&quot;[℃]&quot;;"/>
    <numFmt numFmtId="195" formatCode="0&quot;[％]&quot;;;"/>
    <numFmt numFmtId="196" formatCode="#,###.0&quot;[kJ/kg]&quot;;;"/>
    <numFmt numFmtId="197" formatCode="0.0&quot;[g/Kg]&quot;;;"/>
    <numFmt numFmtId="198" formatCode="#,###.0&quot;kJ/kg&quot;"/>
    <numFmt numFmtId="199" formatCode="#,##0&quot;m3/h&quot;;;"/>
    <numFmt numFmtId="200" formatCode="#,##0&quot;[㎥/h]&quot;;;"/>
    <numFmt numFmtId="201" formatCode="#,##0&quot;[㎥/h]&quot;;;&quot;-&quot;"/>
    <numFmt numFmtId="202" formatCode="0&quot;:00&quot;"/>
    <numFmt numFmtId="203" formatCode="##&quot;[h]&quot;"/>
    <numFmt numFmtId="204" formatCode="0;0;&quot;-&quot;"/>
    <numFmt numFmtId="205" formatCode="0.00;\-0.00;0.00;"/>
    <numFmt numFmtId="206" formatCode="0.00;;;@"/>
    <numFmt numFmtId="207" formatCode="0.0;&quot;-&quot;0.0;&quot;-&quot;"/>
    <numFmt numFmtId="208" formatCode="0.00;;;"/>
    <numFmt numFmtId="209" formatCode="&quot;× &quot;0"/>
    <numFmt numFmtId="210" formatCode="0.00_ ;[Red]\-0.00\ "/>
    <numFmt numFmtId="211" formatCode="0.0;;;@"/>
    <numFmt numFmtId="212" formatCode="0.00_);[Red]\(0.00\)"/>
    <numFmt numFmtId="213" formatCode="#,###;;;"/>
    <numFmt numFmtId="214" formatCode="#,##0&quot;[W/人]&quot;;;&quot;&quot;"/>
    <numFmt numFmtId="215" formatCode="&quot;×&quot;#,##0&quot;[人]&quot;;;&quot;&quot;"/>
    <numFmt numFmtId="216" formatCode="&quot;-&quot;#,##0&quot;[W/人]&quot;;;&quot;&quot;"/>
    <numFmt numFmtId="217" formatCode="#,##0&quot;[W/m2]&quot;;;&quot;&quot;"/>
    <numFmt numFmtId="218" formatCode="&quot;×&quot;#,##0.00&quot;[㎡]&quot;;;&quot;&quot;"/>
    <numFmt numFmtId="219" formatCode="&quot;-&quot;#,##0&quot;[W/m2]&quot;;;&quot;&quot;"/>
    <numFmt numFmtId="220" formatCode="&quot;×&quot;0.00;&quot;×-&quot;0.00;"/>
    <numFmt numFmtId="221" formatCode="&quot;×&quot;#,##0.00_ "/>
    <numFmt numFmtId="222" formatCode="#,###&quot;[W]&quot;;;&quot;&quot;"/>
    <numFmt numFmtId="223" formatCode="&quot;-&quot;#,###&quot;[W]&quot;;;&quot;&quot;"/>
    <numFmt numFmtId="224" formatCode="0.0\ &quot;[m]&quot;"/>
    <numFmt numFmtId="225" formatCode="0.0\ &quot;[W/(m・K)]&quot;;;"/>
    <numFmt numFmtId="226" formatCode="0.0;;&quot;-&quot;;"/>
    <numFmt numFmtId="227" formatCode="0;;&quot;-&quot;;"/>
    <numFmt numFmtId="228" formatCode="0.0;;;"/>
    <numFmt numFmtId="229" formatCode="0.0\ &quot;[W/(m・K)]&quot;"/>
    <numFmt numFmtId="230" formatCode="&quot;×&quot;0.00"/>
    <numFmt numFmtId="231" formatCode="&quot;× &quot;0;&quot;× -&quot;0;;"/>
    <numFmt numFmtId="232" formatCode="0.0;\-0.0;&quot;-&quot;"/>
    <numFmt numFmtId="233" formatCode="0.0;&quot;-&quot;0.0;"/>
    <numFmt numFmtId="234" formatCode="0.00;;&quot;-&quot;;"/>
    <numFmt numFmtId="235" formatCode="&quot;×&quot;0.00&quot;×&quot;"/>
    <numFmt numFmtId="236" formatCode="&quot;×&quot;0.00&quot;×&quot;;&quot;×-&quot;0.00&quot;×&quot;;"/>
    <numFmt numFmtId="237" formatCode="&quot;×&quot;0.00;;"/>
    <numFmt numFmtId="238" formatCode="&quot;× &quot;0.0"/>
    <numFmt numFmtId="239" formatCode="#,##0.0"/>
    <numFmt numFmtId="240" formatCode="0.0;\-0.0;;"/>
    <numFmt numFmtId="241" formatCode="0.00;\-0.00;;"/>
    <numFmt numFmtId="242" formatCode="###&quot;)&quot;"/>
    <numFmt numFmtId="243" formatCode="#,##0.00_ "/>
    <numFmt numFmtId="244" formatCode="#,##0.0_ "/>
  </numFmts>
  <fonts count="59">
    <font>
      <sz val="9"/>
      <color theme="1"/>
      <name val="メイリオ"/>
      <family val="2"/>
      <charset val="128"/>
    </font>
    <font>
      <b/>
      <sz val="9"/>
      <color theme="1"/>
      <name val="メイリオ"/>
      <family val="2"/>
      <charset val="128"/>
    </font>
    <font>
      <sz val="11"/>
      <name val="ＭＳ Ｐゴシック"/>
      <family val="3"/>
      <charset val="128"/>
    </font>
    <font>
      <sz val="6"/>
      <name val="メイリオ"/>
      <family val="2"/>
      <charset val="128"/>
    </font>
    <font>
      <sz val="9.5"/>
      <name val="ＭＳ Ｐゴシック"/>
      <family val="3"/>
      <charset val="128"/>
    </font>
    <font>
      <sz val="9"/>
      <name val="ＭＳ Ｐゴシック"/>
      <family val="3"/>
      <charset val="128"/>
    </font>
    <font>
      <b/>
      <sz val="14"/>
      <name val="ＭＳ Ｐゴシック"/>
      <family val="3"/>
      <charset val="128"/>
    </font>
    <font>
      <sz val="9"/>
      <name val="ＭＳ ゴシック"/>
      <family val="3"/>
      <charset val="128"/>
    </font>
    <font>
      <b/>
      <sz val="16"/>
      <name val="ＭＳ Ｐゴシック"/>
      <family val="3"/>
      <charset val="128"/>
    </font>
    <font>
      <sz val="11"/>
      <color theme="1"/>
      <name val="游ゴシック"/>
      <family val="2"/>
      <charset val="128"/>
      <scheme val="minor"/>
    </font>
    <font>
      <sz val="10"/>
      <name val="ＭＳ Ｐゴシック"/>
      <family val="3"/>
      <charset val="128"/>
    </font>
    <font>
      <sz val="14"/>
      <name val="ＭＳ Ｐゴシック"/>
      <family val="3"/>
      <charset val="128"/>
    </font>
    <font>
      <sz val="6"/>
      <name val="ＭＳ Ｐゴシック"/>
      <family val="3"/>
      <charset val="128"/>
    </font>
    <font>
      <sz val="9"/>
      <name val="游ゴシック Light"/>
      <family val="3"/>
      <charset val="128"/>
      <scheme val="major"/>
    </font>
    <font>
      <sz val="8"/>
      <name val="ＭＳ Ｐゴシック"/>
      <family val="3"/>
      <charset val="128"/>
    </font>
    <font>
      <sz val="9"/>
      <name val="ＭＳ 明朝"/>
      <family val="1"/>
      <charset val="128"/>
    </font>
    <font>
      <sz val="14"/>
      <name val="游ゴシック Light"/>
      <family val="3"/>
      <charset val="128"/>
      <scheme val="major"/>
    </font>
    <font>
      <sz val="8"/>
      <name val="游ゴシック Light"/>
      <family val="3"/>
      <charset val="128"/>
      <scheme val="major"/>
    </font>
    <font>
      <b/>
      <sz val="9"/>
      <name val="ＭＳ Ｐゴシック"/>
      <family val="3"/>
      <charset val="128"/>
    </font>
    <font>
      <sz val="9"/>
      <color indexed="8"/>
      <name val="游ゴシック Light"/>
      <family val="3"/>
      <charset val="128"/>
      <scheme val="major"/>
    </font>
    <font>
      <u/>
      <sz val="9"/>
      <name val="游ゴシック Light"/>
      <family val="3"/>
      <charset val="128"/>
      <scheme val="major"/>
    </font>
    <font>
      <b/>
      <u/>
      <sz val="9"/>
      <name val="游ゴシック Light"/>
      <family val="3"/>
      <charset val="128"/>
      <scheme val="major"/>
    </font>
    <font>
      <b/>
      <sz val="9"/>
      <name val="游ゴシック Light"/>
      <family val="3"/>
      <charset val="128"/>
      <scheme val="major"/>
    </font>
    <font>
      <b/>
      <sz val="12"/>
      <name val="游ゴシック Light"/>
      <family val="3"/>
      <charset val="128"/>
      <scheme val="major"/>
    </font>
    <font>
      <sz val="11"/>
      <name val="明朝"/>
      <family val="1"/>
      <charset val="128"/>
    </font>
    <font>
      <i/>
      <sz val="9"/>
      <name val="游ゴシック Light"/>
      <family val="3"/>
      <charset val="128"/>
      <scheme val="major"/>
    </font>
    <font>
      <b/>
      <sz val="10"/>
      <name val="游ゴシック Light"/>
      <family val="3"/>
      <charset val="128"/>
      <scheme val="major"/>
    </font>
    <font>
      <sz val="10"/>
      <name val="游ゴシック Light"/>
      <family val="3"/>
      <charset val="128"/>
      <scheme val="major"/>
    </font>
    <font>
      <b/>
      <sz val="14"/>
      <name val="游ゴシック Light"/>
      <family val="3"/>
      <charset val="128"/>
      <scheme val="major"/>
    </font>
    <font>
      <sz val="11"/>
      <name val="游ゴシック Light"/>
      <family val="3"/>
      <charset val="128"/>
      <scheme val="major"/>
    </font>
    <font>
      <sz val="9"/>
      <name val="明朝"/>
      <family val="1"/>
      <charset val="128"/>
    </font>
    <font>
      <b/>
      <sz val="10"/>
      <name val="ＭＳ Ｐゴシック"/>
      <family val="3"/>
      <charset val="128"/>
    </font>
    <font>
      <b/>
      <sz val="24"/>
      <name val="ＭＳ Ｐゴシック"/>
      <family val="3"/>
      <charset val="128"/>
    </font>
    <font>
      <sz val="24"/>
      <name val="ＭＳ Ｐゴシック"/>
      <family val="3"/>
      <charset val="128"/>
    </font>
    <font>
      <vertAlign val="superscript"/>
      <sz val="9"/>
      <name val="ＭＳ Ｐゴシック"/>
      <family val="3"/>
      <charset val="128"/>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メイリオ"/>
      <family val="3"/>
      <charset val="128"/>
    </font>
    <font>
      <sz val="13.5"/>
      <name val="System"/>
      <charset val="128"/>
    </font>
    <font>
      <sz val="9"/>
      <name val="メイリオ"/>
      <family val="3"/>
      <charset val="128"/>
    </font>
    <font>
      <sz val="14"/>
      <color theme="1"/>
      <name val="游ゴシック"/>
      <family val="3"/>
      <charset val="128"/>
      <scheme val="minor"/>
    </font>
    <font>
      <sz val="14"/>
      <color theme="1"/>
      <name val="メイリオ"/>
      <family val="3"/>
      <charset val="128"/>
    </font>
    <font>
      <b/>
      <sz val="11"/>
      <color theme="1"/>
      <name val="メイリオ"/>
      <family val="3"/>
      <charset val="128"/>
    </font>
    <font>
      <sz val="10"/>
      <name val="明朝"/>
      <family val="1"/>
      <charset val="128"/>
    </font>
    <font>
      <sz val="9"/>
      <color indexed="9"/>
      <name val="ＭＳ Ｐゴシック"/>
      <family val="3"/>
      <charset val="128"/>
    </font>
    <font>
      <i/>
      <sz val="9"/>
      <name val="ＭＳ Ｐゴシック"/>
      <family val="3"/>
      <charset val="128"/>
    </font>
    <font>
      <sz val="9"/>
      <color indexed="81"/>
      <name val="Meiryo UI"/>
      <family val="3"/>
      <charset val="128"/>
    </font>
    <font>
      <sz val="11"/>
      <color theme="1"/>
      <name val="游ゴシック"/>
      <family val="3"/>
      <charset val="128"/>
      <scheme val="minor"/>
    </font>
    <font>
      <b/>
      <sz val="11"/>
      <name val="ＭＳ Ｐゴシック"/>
      <family val="3"/>
      <charset val="128"/>
    </font>
    <font>
      <sz val="16"/>
      <color theme="1"/>
      <name val="游ゴシック"/>
      <family val="3"/>
      <charset val="128"/>
      <scheme val="minor"/>
    </font>
    <font>
      <sz val="16"/>
      <name val="ＭＳ Ｐゴシック"/>
      <family val="3"/>
      <charset val="128"/>
    </font>
    <font>
      <b/>
      <u/>
      <sz val="9"/>
      <color rgb="FFFF0000"/>
      <name val="ＭＳ Ｐゴシック"/>
      <family val="3"/>
      <charset val="128"/>
    </font>
    <font>
      <b/>
      <vertAlign val="superscript"/>
      <sz val="9"/>
      <name val="ＭＳ Ｐゴシック"/>
      <family val="3"/>
      <charset val="128"/>
    </font>
    <font>
      <sz val="12"/>
      <color theme="1"/>
      <name val="游ゴシック"/>
      <family val="3"/>
      <charset val="128"/>
      <scheme val="minor"/>
    </font>
    <font>
      <sz val="12"/>
      <name val="ＭＳ Ｐゴシック"/>
      <family val="3"/>
      <charset val="128"/>
    </font>
    <font>
      <b/>
      <sz val="12"/>
      <name val="ＭＳ Ｐゴシック"/>
      <family val="3"/>
      <charset val="128"/>
    </font>
    <font>
      <sz val="20"/>
      <name val="ＭＳ Ｐゴシック"/>
      <family val="3"/>
      <charset val="128"/>
    </font>
    <font>
      <b/>
      <sz val="18"/>
      <name val="ＭＳ Ｐゴシック"/>
      <family val="3"/>
      <charset val="128"/>
    </font>
  </fonts>
  <fills count="27">
    <fill>
      <patternFill patternType="none"/>
    </fill>
    <fill>
      <patternFill patternType="gray125"/>
    </fill>
    <fill>
      <gradientFill degree="270">
        <stop position="0">
          <color rgb="FFFFFFFF"/>
        </stop>
        <stop position="1">
          <color rgb="FFB2B2B2"/>
        </stop>
      </gradientFill>
    </fill>
    <fill>
      <gradientFill degree="90">
        <stop position="0">
          <color rgb="FFFFFFFF"/>
        </stop>
        <stop position="1">
          <color rgb="FFB2B2B2"/>
        </stop>
      </gradientFill>
    </fill>
    <fill>
      <patternFill patternType="solid">
        <fgColor rgb="FFCCFFCC"/>
        <bgColor indexed="64"/>
      </patternFill>
    </fill>
    <fill>
      <patternFill patternType="solid">
        <fgColor rgb="FFCCECFF"/>
        <bgColor indexed="64"/>
      </patternFill>
    </fill>
    <fill>
      <patternFill patternType="solid">
        <fgColor rgb="FFCCCCFF"/>
        <bgColor indexed="64"/>
      </patternFill>
    </fill>
    <fill>
      <patternFill patternType="solid">
        <fgColor rgb="FFEAEAEA"/>
        <bgColor indexed="64"/>
      </patternFill>
    </fill>
    <fill>
      <patternFill patternType="solid">
        <fgColor rgb="FFFFCC99"/>
        <bgColor indexed="64"/>
      </patternFill>
    </fill>
    <fill>
      <patternFill patternType="solid">
        <fgColor rgb="FFFFCCCC"/>
        <bgColor indexed="64"/>
      </patternFill>
    </fill>
    <fill>
      <patternFill patternType="solid">
        <fgColor indexed="9"/>
        <bgColor indexed="64"/>
      </patternFill>
    </fill>
    <fill>
      <patternFill patternType="gray125">
        <fgColor indexed="10"/>
      </patternFill>
    </fill>
    <fill>
      <patternFill patternType="solid">
        <fgColor rgb="FFEAEAEA"/>
        <bgColor auto="1"/>
      </patternFill>
    </fill>
    <fill>
      <gradientFill degree="90">
        <stop position="0">
          <color rgb="FFFFFFFF"/>
        </stop>
        <stop position="1">
          <color rgb="FFCCFFCC"/>
        </stop>
      </gradientFill>
    </fill>
    <fill>
      <gradientFill degree="90">
        <stop position="0">
          <color rgb="FFFFFFFF"/>
        </stop>
        <stop position="1">
          <color rgb="FFCCECFF"/>
        </stop>
      </gradientFill>
    </fill>
    <fill>
      <gradientFill degree="90">
        <stop position="0">
          <color rgb="FFFFFFFF"/>
        </stop>
        <stop position="1">
          <color rgb="FFCCCCFF"/>
        </stop>
      </gradientFill>
    </fill>
    <fill>
      <gradientFill degree="90">
        <stop position="0">
          <color rgb="FFFFFFFF"/>
        </stop>
        <stop position="1">
          <color rgb="FFFFCC99"/>
        </stop>
      </gradientFill>
    </fill>
    <fill>
      <gradientFill degree="90">
        <stop position="0">
          <color rgb="FFFFFFFF"/>
        </stop>
        <stop position="1">
          <color rgb="FFFFCCCC"/>
        </stop>
      </gradientFill>
    </fill>
    <fill>
      <gradientFill>
        <stop position="0">
          <color rgb="FFFFFFFF"/>
        </stop>
        <stop position="1">
          <color rgb="FFC0C0C0"/>
        </stop>
      </gradientFill>
    </fill>
    <fill>
      <gradientFill>
        <stop position="0">
          <color rgb="FFFFFFFF"/>
        </stop>
        <stop position="1">
          <color rgb="FFEAEAEA"/>
        </stop>
      </gradientFill>
    </fill>
    <fill>
      <gradientFill degree="270">
        <stop position="0">
          <color rgb="FFFFFFFF"/>
        </stop>
        <stop position="1">
          <color rgb="FFC0C0C0"/>
        </stop>
      </gradientFill>
    </fill>
    <fill>
      <patternFill patternType="solid">
        <fgColor rgb="FFFFCCFF"/>
        <bgColor indexed="64"/>
      </patternFill>
    </fill>
    <fill>
      <patternFill patternType="solid">
        <fgColor rgb="FFCCFFFF"/>
        <bgColor indexed="64"/>
      </patternFill>
    </fill>
    <fill>
      <gradientFill degree="90">
        <stop position="0">
          <color rgb="FFEAEAEA"/>
        </stop>
        <stop position="1">
          <color rgb="FFFFFFFF"/>
        </stop>
      </gradientFill>
    </fill>
    <fill>
      <gradientFill degree="270">
        <stop position="0">
          <color rgb="FFFFFFFF"/>
        </stop>
        <stop position="1">
          <color rgb="FFCCFFCC"/>
        </stop>
      </gradientFill>
    </fill>
    <fill>
      <gradientFill degree="270">
        <stop position="0">
          <color rgb="FFFFFFFF"/>
        </stop>
        <stop position="1">
          <color rgb="FFCCECFF"/>
        </stop>
      </gradientFill>
    </fill>
    <fill>
      <gradientFill degree="270">
        <stop position="0">
          <color rgb="FFFFFFFF"/>
        </stop>
        <stop position="1">
          <color rgb="FFCCCCFF"/>
        </stop>
      </gradientFill>
    </fill>
  </fills>
  <borders count="449">
    <border>
      <left/>
      <right/>
      <top/>
      <bottom/>
      <diagonal/>
    </border>
    <border>
      <left style="thin">
        <color rgb="FFDDDDDD"/>
      </left>
      <right style="thin">
        <color rgb="FF808080"/>
      </right>
      <top style="thin">
        <color rgb="FFF8F8F8"/>
      </top>
      <bottom style="thin">
        <color rgb="FF777777"/>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rgb="FFDDDDDD"/>
      </left>
      <right style="thin">
        <color rgb="FF777777"/>
      </right>
      <top style="thin">
        <color rgb="FFF8F8F8"/>
      </top>
      <bottom/>
      <diagonal/>
    </border>
    <border>
      <left style="thin">
        <color rgb="FF777777"/>
      </left>
      <right style="thin">
        <color rgb="FF777777"/>
      </right>
      <top style="thin">
        <color rgb="FFF8F8F8"/>
      </top>
      <bottom/>
      <diagonal/>
    </border>
    <border>
      <left style="thin">
        <color rgb="FF777777"/>
      </left>
      <right style="thin">
        <color rgb="FF808080"/>
      </right>
      <top style="thin">
        <color rgb="FFF8F8F8"/>
      </top>
      <bottom/>
      <diagonal/>
    </border>
    <border>
      <left style="thin">
        <color rgb="FFDDDDDD"/>
      </left>
      <right style="thin">
        <color rgb="FF777777"/>
      </right>
      <top style="thin">
        <color rgb="FFF8F8F8"/>
      </top>
      <bottom style="thin">
        <color rgb="FF777777"/>
      </bottom>
      <diagonal/>
    </border>
    <border>
      <left style="thin">
        <color rgb="FF777777"/>
      </left>
      <right style="thin">
        <color rgb="FF777777"/>
      </right>
      <top style="thin">
        <color rgb="FFF8F8F8"/>
      </top>
      <bottom style="thin">
        <color rgb="FF777777"/>
      </bottom>
      <diagonal/>
    </border>
    <border>
      <left style="thin">
        <color rgb="FF777777"/>
      </left>
      <right style="thin">
        <color rgb="FF808080"/>
      </right>
      <top style="thin">
        <color rgb="FFF8F8F8"/>
      </top>
      <bottom style="thin">
        <color rgb="FF777777"/>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808080"/>
      </right>
      <top style="thin">
        <color rgb="FF777777"/>
      </top>
      <bottom style="thin">
        <color rgb="FF777777"/>
      </bottom>
      <diagonal/>
    </border>
    <border>
      <left style="thin">
        <color rgb="FFDDDDDD"/>
      </left>
      <right style="thin">
        <color rgb="FF777777"/>
      </right>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thin">
        <color rgb="FF808080"/>
      </right>
      <top style="medium">
        <color rgb="FFF8F8F8"/>
      </top>
      <bottom style="thin">
        <color rgb="FF777777"/>
      </bottom>
      <diagonal/>
    </border>
    <border>
      <left style="thin">
        <color rgb="FF777777"/>
      </left>
      <right style="thin">
        <color rgb="FF777777"/>
      </right>
      <top style="thin">
        <color rgb="FFC0C0C0"/>
      </top>
      <bottom style="thin">
        <color rgb="FF777777"/>
      </bottom>
      <diagonal/>
    </border>
    <border>
      <left style="thin">
        <color rgb="FF777777"/>
      </left>
      <right style="thin">
        <color rgb="FF808080"/>
      </right>
      <top style="thin">
        <color rgb="FFC0C0C0"/>
      </top>
      <bottom style="thin">
        <color rgb="FF777777"/>
      </bottom>
      <diagonal/>
    </border>
    <border>
      <left/>
      <right/>
      <top/>
      <bottom style="thin">
        <color auto="1"/>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n">
        <color rgb="FF808080"/>
      </right>
      <top style="thin">
        <color rgb="FFF8F8F8"/>
      </top>
      <bottom/>
      <diagonal/>
    </border>
    <border>
      <left/>
      <right style="hair">
        <color indexed="64"/>
      </right>
      <top style="thin">
        <color rgb="FFF8F8F8"/>
      </top>
      <bottom/>
      <diagonal/>
    </border>
    <border>
      <left style="hair">
        <color indexed="64"/>
      </left>
      <right style="hair">
        <color indexed="64"/>
      </right>
      <top style="thin">
        <color rgb="FFF8F8F8"/>
      </top>
      <bottom/>
      <diagonal/>
    </border>
    <border>
      <left style="hair">
        <color indexed="64"/>
      </left>
      <right style="thin">
        <color rgb="FF808080"/>
      </right>
      <top style="thin">
        <color rgb="FFF8F8F8"/>
      </top>
      <bottom/>
      <diagonal/>
    </border>
    <border>
      <left style="thin">
        <color rgb="FFDDDDDD"/>
      </left>
      <right style="thin">
        <color rgb="FF808080"/>
      </right>
      <top style="thin">
        <color rgb="FF777777"/>
      </top>
      <bottom style="thin">
        <color rgb="FF777777"/>
      </bottom>
      <diagonal/>
    </border>
    <border>
      <left style="thin">
        <color rgb="FF808080"/>
      </left>
      <right style="hair">
        <color rgb="FF808080"/>
      </right>
      <top style="thin">
        <color rgb="FF777777"/>
      </top>
      <bottom style="thin">
        <color rgb="FF777777"/>
      </bottom>
      <diagonal/>
    </border>
    <border>
      <left style="hair">
        <color rgb="FF808080"/>
      </left>
      <right style="hair">
        <color rgb="FF808080"/>
      </right>
      <top style="thin">
        <color rgb="FF777777"/>
      </top>
      <bottom style="thin">
        <color rgb="FF777777"/>
      </bottom>
      <diagonal/>
    </border>
    <border>
      <left/>
      <right style="thin">
        <color rgb="FF808080"/>
      </right>
      <top style="thin">
        <color rgb="FF777777"/>
      </top>
      <bottom style="thin">
        <color rgb="FF777777"/>
      </bottom>
      <diagonal/>
    </border>
    <border>
      <left style="thin">
        <color rgb="FFDDDDDD"/>
      </left>
      <right style="thin">
        <color rgb="FF808080"/>
      </right>
      <top style="thin">
        <color rgb="FF777777"/>
      </top>
      <bottom/>
      <diagonal/>
    </border>
    <border>
      <left style="thin">
        <color rgb="FF808080"/>
      </left>
      <right/>
      <top style="thin">
        <color rgb="FFF8F8F8"/>
      </top>
      <bottom/>
      <diagonal/>
    </border>
    <border>
      <left/>
      <right/>
      <top style="thin">
        <color rgb="FFF8F8F8"/>
      </top>
      <bottom/>
      <diagonal/>
    </border>
    <border>
      <left/>
      <right style="thin">
        <color rgb="FF808080"/>
      </right>
      <top style="thin">
        <color rgb="FFF8F8F8"/>
      </top>
      <bottom/>
      <diagonal/>
    </border>
    <border>
      <left style="thin">
        <color rgb="FFDDDDDD"/>
      </left>
      <right style="thin">
        <color rgb="FF808080"/>
      </right>
      <top/>
      <bottom/>
      <diagonal/>
    </border>
    <border>
      <left style="thin">
        <color rgb="FF808080"/>
      </left>
      <right/>
      <top/>
      <bottom/>
      <diagonal/>
    </border>
    <border>
      <left/>
      <right style="thin">
        <color rgb="FF808080"/>
      </right>
      <top/>
      <bottom/>
      <diagonal/>
    </border>
    <border>
      <left style="thin">
        <color rgb="FFDDDDDD"/>
      </left>
      <right style="thin">
        <color rgb="FF808080"/>
      </right>
      <top/>
      <bottom style="thin">
        <color rgb="FF777777"/>
      </bottom>
      <diagonal/>
    </border>
    <border>
      <left/>
      <right style="hair">
        <color indexed="64"/>
      </right>
      <top/>
      <bottom/>
      <diagonal/>
    </border>
    <border>
      <left style="thin">
        <color rgb="FF808080"/>
      </left>
      <right/>
      <top/>
      <bottom style="thin">
        <color rgb="FF777777"/>
      </bottom>
      <diagonal/>
    </border>
    <border>
      <left style="hair">
        <color indexed="64"/>
      </left>
      <right/>
      <top/>
      <bottom style="thin">
        <color rgb="FF777777"/>
      </bottom>
      <diagonal/>
    </border>
    <border>
      <left style="thin">
        <color rgb="FF808080"/>
      </left>
      <right style="hair">
        <color indexed="64"/>
      </right>
      <top/>
      <bottom style="thin">
        <color rgb="FF777777"/>
      </bottom>
      <diagonal/>
    </border>
    <border>
      <left style="hair">
        <color indexed="64"/>
      </left>
      <right style="thin">
        <color rgb="FF808080"/>
      </right>
      <top/>
      <bottom style="thin">
        <color rgb="FF777777"/>
      </bottom>
      <diagonal/>
    </border>
    <border>
      <left/>
      <right style="hair">
        <color indexed="64"/>
      </right>
      <top/>
      <bottom style="thin">
        <color rgb="FF777777"/>
      </bottom>
      <diagonal/>
    </border>
    <border>
      <left style="hair">
        <color indexed="64"/>
      </left>
      <right style="thin">
        <color rgb="FF808080"/>
      </right>
      <top/>
      <bottom/>
      <diagonal/>
    </border>
    <border>
      <left style="thin">
        <color rgb="FF808080"/>
      </left>
      <right style="thin">
        <color rgb="FF777777"/>
      </right>
      <top style="thin">
        <color rgb="FF777777"/>
      </top>
      <bottom/>
      <diagonal/>
    </border>
    <border>
      <left style="thin">
        <color rgb="FF777777"/>
      </left>
      <right style="thin">
        <color rgb="FF777777"/>
      </right>
      <top/>
      <bottom/>
      <diagonal/>
    </border>
    <border>
      <left/>
      <right style="thin">
        <color rgb="FF777777"/>
      </right>
      <top/>
      <bottom style="thin">
        <color rgb="FF777777"/>
      </bottom>
      <diagonal/>
    </border>
    <border>
      <left style="thin">
        <color rgb="FF777777"/>
      </left>
      <right style="thin">
        <color rgb="FF777777"/>
      </right>
      <top style="thin">
        <color rgb="FF777777"/>
      </top>
      <bottom/>
      <diagonal/>
    </border>
    <border>
      <left style="thin">
        <color rgb="FF808080"/>
      </left>
      <right style="thin">
        <color rgb="FF777777"/>
      </right>
      <top/>
      <bottom/>
      <diagonal/>
    </border>
    <border diagonalUp="1">
      <left style="thin">
        <color rgb="FF777777"/>
      </left>
      <right style="thin">
        <color rgb="FF777777"/>
      </right>
      <top style="thin">
        <color rgb="FF777777"/>
      </top>
      <bottom style="thin">
        <color rgb="FF777777"/>
      </bottom>
      <diagonal style="thin">
        <color rgb="FF777777"/>
      </diagonal>
    </border>
    <border>
      <left style="thin">
        <color rgb="FF808080"/>
      </left>
      <right style="thin">
        <color rgb="FF777777"/>
      </right>
      <top/>
      <bottom style="thin">
        <color rgb="FF777777"/>
      </bottom>
      <diagonal/>
    </border>
    <border>
      <left style="thin">
        <color rgb="FF808080"/>
      </left>
      <right/>
      <top style="thin">
        <color rgb="FFF8F8F8"/>
      </top>
      <bottom style="thin">
        <color rgb="FF777777"/>
      </bottom>
      <diagonal/>
    </border>
    <border>
      <left style="thin">
        <color rgb="FF808080"/>
      </left>
      <right style="thin">
        <color rgb="FF808080"/>
      </right>
      <top style="thin">
        <color rgb="FFF8F8F8"/>
      </top>
      <bottom/>
      <diagonal/>
    </border>
    <border>
      <left/>
      <right/>
      <top/>
      <bottom style="thin">
        <color rgb="FF777777"/>
      </bottom>
      <diagonal/>
    </border>
    <border>
      <left/>
      <right style="thin">
        <color rgb="FF808080"/>
      </right>
      <top/>
      <bottom style="thin">
        <color rgb="FF777777"/>
      </bottom>
      <diagonal/>
    </border>
    <border>
      <left style="thin">
        <color rgb="FFDDDDDD"/>
      </left>
      <right/>
      <top style="thin">
        <color rgb="FF777777"/>
      </top>
      <bottom style="thin">
        <color rgb="FF777777"/>
      </bottom>
      <diagonal/>
    </border>
    <border>
      <left style="thin">
        <color rgb="FF808080"/>
      </left>
      <right/>
      <top style="thin">
        <color rgb="FF777777"/>
      </top>
      <bottom style="thin">
        <color rgb="FF777777"/>
      </bottom>
      <diagonal/>
    </border>
    <border>
      <left style="thin">
        <color rgb="FF808080"/>
      </left>
      <right style="thin">
        <color rgb="FF808080"/>
      </right>
      <top style="thin">
        <color rgb="FF777777"/>
      </top>
      <bottom style="thin">
        <color rgb="FF777777"/>
      </bottom>
      <diagonal/>
    </border>
    <border>
      <left/>
      <right/>
      <top style="thin">
        <color rgb="FF777777"/>
      </top>
      <bottom style="thin">
        <color rgb="FF777777"/>
      </bottom>
      <diagonal/>
    </border>
    <border>
      <left style="hair">
        <color indexed="64"/>
      </left>
      <right style="hair">
        <color indexed="64"/>
      </right>
      <top/>
      <bottom/>
      <diagonal/>
    </border>
    <border>
      <left style="thin">
        <color rgb="FFDDDDDD"/>
      </left>
      <right style="thin">
        <color rgb="FF808080"/>
      </right>
      <top style="thin">
        <color rgb="FF777777"/>
      </top>
      <bottom style="hair">
        <color indexed="64"/>
      </bottom>
      <diagonal/>
    </border>
    <border>
      <left/>
      <right style="hair">
        <color indexed="64"/>
      </right>
      <top style="thin">
        <color rgb="FF777777"/>
      </top>
      <bottom style="hair">
        <color indexed="64"/>
      </bottom>
      <diagonal/>
    </border>
    <border>
      <left style="hair">
        <color indexed="64"/>
      </left>
      <right style="hair">
        <color indexed="64"/>
      </right>
      <top style="thin">
        <color rgb="FF777777"/>
      </top>
      <bottom style="hair">
        <color indexed="64"/>
      </bottom>
      <diagonal/>
    </border>
    <border>
      <left style="hair">
        <color indexed="64"/>
      </left>
      <right style="thin">
        <color rgb="FF808080"/>
      </right>
      <top style="thin">
        <color rgb="FF777777"/>
      </top>
      <bottom style="hair">
        <color indexed="64"/>
      </bottom>
      <diagonal/>
    </border>
    <border>
      <left style="thin">
        <color rgb="FFDDDDDD"/>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style="thin">
        <color rgb="FFDDDDDD"/>
      </left>
      <right style="thin">
        <color rgb="FF808080"/>
      </right>
      <top style="hair">
        <color indexed="64"/>
      </top>
      <bottom style="thin">
        <color rgb="FF777777"/>
      </bottom>
      <diagonal/>
    </border>
    <border>
      <left/>
      <right style="hair">
        <color indexed="64"/>
      </right>
      <top style="hair">
        <color indexed="64"/>
      </top>
      <bottom style="thin">
        <color rgb="FF777777"/>
      </bottom>
      <diagonal/>
    </border>
    <border>
      <left style="hair">
        <color indexed="64"/>
      </left>
      <right style="hair">
        <color indexed="64"/>
      </right>
      <top style="hair">
        <color indexed="64"/>
      </top>
      <bottom style="thin">
        <color rgb="FF777777"/>
      </bottom>
      <diagonal/>
    </border>
    <border>
      <left style="hair">
        <color indexed="64"/>
      </left>
      <right style="thin">
        <color rgb="FF808080"/>
      </right>
      <top style="hair">
        <color indexed="64"/>
      </top>
      <bottom style="thin">
        <color rgb="FF777777"/>
      </bottom>
      <diagonal/>
    </border>
    <border>
      <left style="thin">
        <color rgb="FFDDDDDD"/>
      </left>
      <right/>
      <top style="thin">
        <color rgb="FFF8F8F8"/>
      </top>
      <bottom/>
      <diagonal/>
    </border>
    <border>
      <left style="thin">
        <color rgb="FFDDDDDD"/>
      </left>
      <right/>
      <top style="thin">
        <color rgb="FF777777"/>
      </top>
      <bottom style="hair">
        <color indexed="64"/>
      </bottom>
      <diagonal/>
    </border>
    <border>
      <left/>
      <right/>
      <top style="thin">
        <color rgb="FF777777"/>
      </top>
      <bottom style="hair">
        <color indexed="64"/>
      </bottom>
      <diagonal/>
    </border>
    <border>
      <left style="thin">
        <color rgb="FFDDDDDD"/>
      </left>
      <right/>
      <top style="hair">
        <color auto="1"/>
      </top>
      <bottom style="hair">
        <color auto="1"/>
      </bottom>
      <diagonal/>
    </border>
    <border>
      <left/>
      <right/>
      <top style="hair">
        <color indexed="64"/>
      </top>
      <bottom style="hair">
        <color indexed="64"/>
      </bottom>
      <diagonal/>
    </border>
    <border>
      <left style="thin">
        <color rgb="FFDDDDDD"/>
      </left>
      <right/>
      <top style="hair">
        <color indexed="64"/>
      </top>
      <bottom style="thin">
        <color rgb="FF777777"/>
      </bottom>
      <diagonal/>
    </border>
    <border>
      <left/>
      <right/>
      <top style="hair">
        <color indexed="64"/>
      </top>
      <bottom style="thin">
        <color rgb="FF777777"/>
      </bottom>
      <diagonal/>
    </border>
    <border>
      <left style="thin">
        <color rgb="FFDDDDDD"/>
      </left>
      <right style="thin">
        <color indexed="23"/>
      </right>
      <top style="thin">
        <color rgb="FFF8F8F8"/>
      </top>
      <bottom/>
      <diagonal/>
    </border>
    <border>
      <left style="thin">
        <color indexed="23"/>
      </left>
      <right style="thin">
        <color indexed="23"/>
      </right>
      <top style="thin">
        <color rgb="FFF8F8F8"/>
      </top>
      <bottom/>
      <diagonal/>
    </border>
    <border>
      <left/>
      <right/>
      <top style="thin">
        <color rgb="FFF8F8F8"/>
      </top>
      <bottom style="hair">
        <color auto="1"/>
      </bottom>
      <diagonal/>
    </border>
    <border>
      <left/>
      <right style="thin">
        <color rgb="FF808080"/>
      </right>
      <top style="thin">
        <color rgb="FFF8F8F8"/>
      </top>
      <bottom style="hair">
        <color auto="1"/>
      </bottom>
      <diagonal/>
    </border>
    <border>
      <left style="thin">
        <color rgb="FFDDDDDD"/>
      </left>
      <right style="thin">
        <color indexed="23"/>
      </right>
      <top/>
      <bottom/>
      <diagonal/>
    </border>
    <border>
      <left style="thin">
        <color indexed="23"/>
      </left>
      <right style="thin">
        <color indexed="23"/>
      </right>
      <top/>
      <bottom style="thin">
        <color rgb="FF777777"/>
      </bottom>
      <diagonal/>
    </border>
    <border>
      <left/>
      <right style="thin">
        <color indexed="23"/>
      </right>
      <top style="hair">
        <color auto="1"/>
      </top>
      <bottom/>
      <diagonal/>
    </border>
    <border>
      <left style="thin">
        <color indexed="23"/>
      </left>
      <right style="thin">
        <color indexed="23"/>
      </right>
      <top style="hair">
        <color auto="1"/>
      </top>
      <bottom/>
      <diagonal/>
    </border>
    <border>
      <left style="thin">
        <color rgb="FFDDDDDD"/>
      </left>
      <right style="thin">
        <color indexed="23"/>
      </right>
      <top style="thin">
        <color rgb="FF777777"/>
      </top>
      <bottom style="thin">
        <color indexed="23"/>
      </bottom>
      <diagonal/>
    </border>
    <border>
      <left style="thin">
        <color indexed="23"/>
      </left>
      <right style="thin">
        <color indexed="23"/>
      </right>
      <top style="thin">
        <color rgb="FF777777"/>
      </top>
      <bottom style="thin">
        <color indexed="23"/>
      </bottom>
      <diagonal/>
    </border>
    <border>
      <left/>
      <right style="thin">
        <color rgb="FF808080"/>
      </right>
      <top style="thin">
        <color rgb="FF777777"/>
      </top>
      <bottom style="thin">
        <color indexed="23"/>
      </bottom>
      <diagonal/>
    </border>
    <border>
      <left style="thin">
        <color rgb="FFDDDDDD"/>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rgb="FF808080"/>
      </right>
      <top style="thin">
        <color indexed="23"/>
      </top>
      <bottom style="thin">
        <color indexed="23"/>
      </bottom>
      <diagonal/>
    </border>
    <border>
      <left style="thin">
        <color rgb="FFDDDDDD"/>
      </left>
      <right/>
      <top/>
      <bottom/>
      <diagonal/>
    </border>
    <border>
      <left style="thin">
        <color rgb="FFDDDDDD"/>
      </left>
      <right/>
      <top/>
      <bottom style="thin">
        <color rgb="FF777777"/>
      </bottom>
      <diagonal/>
    </border>
    <border>
      <left style="thin">
        <color rgb="FFDDDDDD"/>
      </left>
      <right style="hair">
        <color indexed="64"/>
      </right>
      <top style="thin">
        <color rgb="FFF8F8F8"/>
      </top>
      <bottom style="hair">
        <color indexed="64"/>
      </bottom>
      <diagonal/>
    </border>
    <border>
      <left/>
      <right style="hair">
        <color indexed="64"/>
      </right>
      <top style="thin">
        <color rgb="FFF8F8F8"/>
      </top>
      <bottom style="hair">
        <color indexed="64"/>
      </bottom>
      <diagonal/>
    </border>
    <border>
      <left style="thin">
        <color rgb="FFDDDDDD"/>
      </left>
      <right style="hair">
        <color indexed="64"/>
      </right>
      <top/>
      <bottom/>
      <diagonal/>
    </border>
    <border>
      <left style="thin">
        <color rgb="FFDDDDDD"/>
      </left>
      <right style="hair">
        <color indexed="64"/>
      </right>
      <top style="thin">
        <color rgb="FF777777"/>
      </top>
      <bottom style="thin">
        <color rgb="FF777777"/>
      </bottom>
      <diagonal/>
    </border>
    <border>
      <left/>
      <right style="hair">
        <color indexed="64"/>
      </right>
      <top style="thin">
        <color rgb="FF777777"/>
      </top>
      <bottom style="thin">
        <color rgb="FF777777"/>
      </bottom>
      <diagonal/>
    </border>
    <border>
      <left style="thin">
        <color rgb="FFDDDDDD"/>
      </left>
      <right style="thin">
        <color rgb="FF808080"/>
      </right>
      <top style="medium">
        <color rgb="FFF8F8F8"/>
      </top>
      <bottom/>
      <diagonal/>
    </border>
    <border>
      <left style="thin">
        <color rgb="FFDDDDDD"/>
      </left>
      <right style="thin">
        <color rgb="FF808080"/>
      </right>
      <top style="thin">
        <color rgb="FF777777"/>
      </top>
      <bottom style="medium">
        <color indexed="23"/>
      </bottom>
      <diagonal/>
    </border>
    <border>
      <left/>
      <right style="hair">
        <color indexed="64"/>
      </right>
      <top style="thin">
        <color rgb="FF777777"/>
      </top>
      <bottom style="medium">
        <color indexed="23"/>
      </bottom>
      <diagonal/>
    </border>
    <border>
      <left style="hair">
        <color indexed="64"/>
      </left>
      <right style="hair">
        <color indexed="64"/>
      </right>
      <top style="thin">
        <color rgb="FF777777"/>
      </top>
      <bottom style="medium">
        <color indexed="23"/>
      </bottom>
      <diagonal/>
    </border>
    <border>
      <left style="hair">
        <color indexed="64"/>
      </left>
      <right style="thin">
        <color rgb="FF808080"/>
      </right>
      <top style="thin">
        <color rgb="FF777777"/>
      </top>
      <bottom style="medium">
        <color indexed="23"/>
      </bottom>
      <diagonal/>
    </border>
    <border>
      <left style="thin">
        <color rgb="FFDDDDDD"/>
      </left>
      <right style="thin">
        <color rgb="FF808080"/>
      </right>
      <top style="medium">
        <color indexed="23"/>
      </top>
      <bottom style="medium">
        <color indexed="23"/>
      </bottom>
      <diagonal/>
    </border>
    <border>
      <left/>
      <right style="hair">
        <color indexed="64"/>
      </right>
      <top style="medium">
        <color indexed="23"/>
      </top>
      <bottom style="medium">
        <color indexed="23"/>
      </bottom>
      <diagonal/>
    </border>
    <border>
      <left style="hair">
        <color indexed="64"/>
      </left>
      <right style="hair">
        <color indexed="64"/>
      </right>
      <top style="medium">
        <color indexed="23"/>
      </top>
      <bottom style="medium">
        <color indexed="23"/>
      </bottom>
      <diagonal/>
    </border>
    <border>
      <left style="hair">
        <color indexed="64"/>
      </left>
      <right style="thin">
        <color rgb="FF808080"/>
      </right>
      <top style="medium">
        <color indexed="23"/>
      </top>
      <bottom style="medium">
        <color indexed="23"/>
      </bottom>
      <diagonal/>
    </border>
    <border>
      <left style="thin">
        <color rgb="FFDDDDDD"/>
      </left>
      <right style="thin">
        <color rgb="FF808080"/>
      </right>
      <top style="medium">
        <color indexed="23"/>
      </top>
      <bottom/>
      <diagonal/>
    </border>
    <border>
      <left/>
      <right style="hair">
        <color indexed="64"/>
      </right>
      <top style="medium">
        <color indexed="23"/>
      </top>
      <bottom style="hair">
        <color indexed="64"/>
      </bottom>
      <diagonal/>
    </border>
    <border>
      <left style="hair">
        <color indexed="64"/>
      </left>
      <right style="hair">
        <color indexed="64"/>
      </right>
      <top style="medium">
        <color indexed="23"/>
      </top>
      <bottom style="hair">
        <color indexed="64"/>
      </bottom>
      <diagonal/>
    </border>
    <border>
      <left style="hair">
        <color indexed="64"/>
      </left>
      <right style="thin">
        <color rgb="FF808080"/>
      </right>
      <top style="medium">
        <color indexed="23"/>
      </top>
      <bottom style="hair">
        <color indexed="64"/>
      </bottom>
      <diagonal/>
    </border>
    <border>
      <left style="thin">
        <color rgb="FFDDDDDD"/>
      </left>
      <right style="thin">
        <color rgb="FF808080"/>
      </right>
      <top/>
      <bottom style="medium">
        <color indexed="23"/>
      </bottom>
      <diagonal/>
    </border>
    <border>
      <left/>
      <right style="hair">
        <color indexed="64"/>
      </right>
      <top style="hair">
        <color indexed="64"/>
      </top>
      <bottom style="medium">
        <color indexed="23"/>
      </bottom>
      <diagonal/>
    </border>
    <border>
      <left style="hair">
        <color indexed="64"/>
      </left>
      <right style="hair">
        <color indexed="64"/>
      </right>
      <top style="hair">
        <color indexed="64"/>
      </top>
      <bottom style="medium">
        <color indexed="23"/>
      </bottom>
      <diagonal/>
    </border>
    <border>
      <left style="hair">
        <color indexed="64"/>
      </left>
      <right style="thin">
        <color rgb="FF808080"/>
      </right>
      <top style="hair">
        <color indexed="64"/>
      </top>
      <bottom style="medium">
        <color indexed="23"/>
      </bottom>
      <diagonal/>
    </border>
    <border>
      <left style="thin">
        <color rgb="FFDDDDDD"/>
      </left>
      <right style="thin">
        <color rgb="FF808080"/>
      </right>
      <top style="medium">
        <color indexed="23"/>
      </top>
      <bottom style="hair">
        <color indexed="64"/>
      </bottom>
      <diagonal/>
    </border>
    <border>
      <left style="thin">
        <color rgb="FFDDDDDD"/>
      </left>
      <right style="thin">
        <color rgb="FF808080"/>
      </right>
      <top style="hair">
        <color indexed="64"/>
      </top>
      <bottom style="medium">
        <color indexed="23"/>
      </bottom>
      <diagonal/>
    </border>
    <border>
      <left style="hair">
        <color indexed="64"/>
      </left>
      <right/>
      <top style="thin">
        <color rgb="FFF8F8F8"/>
      </top>
      <bottom/>
      <diagonal/>
    </border>
    <border>
      <left style="hair">
        <color indexed="64"/>
      </left>
      <right/>
      <top/>
      <bottom/>
      <diagonal/>
    </border>
    <border>
      <left/>
      <right style="hair">
        <color indexed="64"/>
      </right>
      <top style="thin">
        <color rgb="FF777777"/>
      </top>
      <bottom/>
      <diagonal/>
    </border>
    <border>
      <left/>
      <right style="thin">
        <color rgb="FF808080"/>
      </right>
      <top style="thin">
        <color rgb="FF777777"/>
      </top>
      <bottom/>
      <diagonal/>
    </border>
    <border>
      <left/>
      <right style="hair">
        <color indexed="64"/>
      </right>
      <top/>
      <bottom style="thin">
        <color indexed="64"/>
      </bottom>
      <diagonal/>
    </border>
    <border>
      <left/>
      <right style="thin">
        <color rgb="FF808080"/>
      </right>
      <top/>
      <bottom style="thin">
        <color indexed="64"/>
      </bottom>
      <diagonal/>
    </border>
    <border>
      <left/>
      <right style="hair">
        <color indexed="64"/>
      </right>
      <top/>
      <bottom style="hair">
        <color indexed="64"/>
      </bottom>
      <diagonal/>
    </border>
    <border>
      <left/>
      <right style="thin">
        <color rgb="FF808080"/>
      </right>
      <top/>
      <bottom style="hair">
        <color indexed="64"/>
      </bottom>
      <diagonal/>
    </border>
    <border>
      <left/>
      <right style="thin">
        <color rgb="FF808080"/>
      </right>
      <top style="hair">
        <color indexed="64"/>
      </top>
      <bottom style="thin">
        <color rgb="FF777777"/>
      </bottom>
      <diagonal/>
    </border>
    <border>
      <left style="hair">
        <color indexed="64"/>
      </left>
      <right style="hair">
        <color indexed="64"/>
      </right>
      <top style="thin">
        <color rgb="FF777777"/>
      </top>
      <bottom/>
      <diagonal/>
    </border>
    <border>
      <left style="hair">
        <color indexed="64"/>
      </left>
      <right style="hair">
        <color indexed="64"/>
      </right>
      <top style="thin">
        <color auto="1"/>
      </top>
      <bottom/>
      <diagonal/>
    </border>
    <border>
      <left/>
      <right style="thin">
        <color rgb="FFF8F8F8"/>
      </right>
      <top style="thin">
        <color rgb="FFF8F8F8"/>
      </top>
      <bottom style="thin">
        <color rgb="FFF8F8F8"/>
      </bottom>
      <diagonal/>
    </border>
    <border>
      <left/>
      <right/>
      <top style="thin">
        <color rgb="FFF8F8F8"/>
      </top>
      <bottom style="thin">
        <color rgb="FFF8F8F8"/>
      </bottom>
      <diagonal/>
    </border>
    <border>
      <left style="thin">
        <color rgb="FFDDDDDD"/>
      </left>
      <right style="hair">
        <color indexed="64"/>
      </right>
      <top style="thin">
        <color rgb="FFF8F8F8"/>
      </top>
      <bottom/>
      <diagonal/>
    </border>
    <border>
      <left style="hair">
        <color indexed="64"/>
      </left>
      <right style="thin">
        <color indexed="64"/>
      </right>
      <top style="thin">
        <color rgb="FFF8F8F8"/>
      </top>
      <bottom/>
      <diagonal/>
    </border>
    <border>
      <left style="thin">
        <color indexed="64"/>
      </left>
      <right style="hair">
        <color indexed="64"/>
      </right>
      <top style="thin">
        <color rgb="FFF8F8F8"/>
      </top>
      <bottom/>
      <diagonal/>
    </border>
    <border>
      <left/>
      <right style="thin">
        <color indexed="64"/>
      </right>
      <top style="thin">
        <color rgb="FFF8F8F8"/>
      </top>
      <bottom/>
      <diagonal/>
    </border>
    <border>
      <left style="thin">
        <color indexed="64"/>
      </left>
      <right/>
      <top style="thin">
        <color rgb="FFF8F8F8"/>
      </top>
      <bottom/>
      <diagonal/>
    </border>
    <border>
      <left style="thin">
        <color indexed="64"/>
      </left>
      <right/>
      <top style="thin">
        <color rgb="FFF8F8F8"/>
      </top>
      <bottom style="thin">
        <color indexed="64"/>
      </bottom>
      <diagonal/>
    </border>
    <border>
      <left/>
      <right/>
      <top style="thin">
        <color rgb="FFF8F8F8"/>
      </top>
      <bottom style="thin">
        <color indexed="64"/>
      </bottom>
      <diagonal/>
    </border>
    <border>
      <left/>
      <right style="thin">
        <color indexed="64"/>
      </right>
      <top style="thin">
        <color rgb="FFF8F8F8"/>
      </top>
      <bottom style="thin">
        <color indexed="64"/>
      </bottom>
      <diagonal/>
    </border>
    <border>
      <left style="thin">
        <color indexed="64"/>
      </left>
      <right/>
      <top style="thin">
        <color rgb="FFF8F8F8"/>
      </top>
      <bottom style="hair">
        <color indexed="64"/>
      </bottom>
      <diagonal/>
    </border>
    <border>
      <left style="thin">
        <color rgb="FFDDDDDD"/>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thin">
        <color rgb="FFF8F8F8"/>
      </right>
      <top/>
      <bottom style="thin">
        <color rgb="FFF8F8F8"/>
      </bottom>
      <diagonal/>
    </border>
    <border>
      <left style="thin">
        <color rgb="FFDDDDDD"/>
      </left>
      <right style="hair">
        <color indexed="64"/>
      </right>
      <top/>
      <bottom style="thin">
        <color rgb="FF777777"/>
      </bottom>
      <diagonal/>
    </border>
    <border>
      <left/>
      <right style="thin">
        <color indexed="64"/>
      </right>
      <top/>
      <bottom style="thin">
        <color rgb="FF777777"/>
      </bottom>
      <diagonal/>
    </border>
    <border>
      <left style="thin">
        <color indexed="64"/>
      </left>
      <right style="hair">
        <color indexed="64"/>
      </right>
      <top style="thin">
        <color indexed="64"/>
      </top>
      <bottom style="thin">
        <color rgb="FF777777"/>
      </bottom>
      <diagonal/>
    </border>
    <border>
      <left/>
      <right style="hair">
        <color indexed="64"/>
      </right>
      <top style="thin">
        <color indexed="64"/>
      </top>
      <bottom style="thin">
        <color rgb="FF777777"/>
      </bottom>
      <diagonal/>
    </border>
    <border>
      <left style="thin">
        <color indexed="64"/>
      </left>
      <right/>
      <top style="thin">
        <color indexed="64"/>
      </top>
      <bottom style="thin">
        <color rgb="FF777777"/>
      </bottom>
      <diagonal/>
    </border>
    <border>
      <left/>
      <right style="hair">
        <color indexed="8"/>
      </right>
      <top style="thin">
        <color indexed="64"/>
      </top>
      <bottom style="thin">
        <color rgb="FF777777"/>
      </bottom>
      <diagonal/>
    </border>
    <border>
      <left style="hair">
        <color indexed="8"/>
      </left>
      <right/>
      <top/>
      <bottom style="thin">
        <color rgb="FF777777"/>
      </bottom>
      <diagonal/>
    </border>
    <border>
      <left style="thin">
        <color indexed="64"/>
      </left>
      <right/>
      <top/>
      <bottom style="thin">
        <color rgb="FF777777"/>
      </bottom>
      <diagonal/>
    </border>
    <border>
      <left/>
      <right style="hair">
        <color indexed="8"/>
      </right>
      <top/>
      <bottom style="thin">
        <color rgb="FF777777"/>
      </bottom>
      <diagonal/>
    </border>
    <border>
      <left/>
      <right/>
      <top style="thin">
        <color rgb="FF777777"/>
      </top>
      <bottom style="medium">
        <color rgb="FFF8F8F8"/>
      </bottom>
      <diagonal/>
    </border>
    <border>
      <left style="thin">
        <color rgb="FF808080"/>
      </left>
      <right/>
      <top/>
      <bottom style="thin">
        <color rgb="FFF8F8F8"/>
      </bottom>
      <diagonal/>
    </border>
    <border>
      <left style="thin">
        <color rgb="FFDDDDDD"/>
      </left>
      <right/>
      <top style="medium">
        <color rgb="FFF8F8F8"/>
      </top>
      <bottom/>
      <diagonal/>
    </border>
    <border>
      <left/>
      <right/>
      <top style="medium">
        <color rgb="FFF8F8F8"/>
      </top>
      <bottom/>
      <diagonal/>
    </border>
    <border>
      <left/>
      <right style="double">
        <color indexed="64"/>
      </right>
      <top style="medium">
        <color rgb="FFF8F8F8"/>
      </top>
      <bottom/>
      <diagonal/>
    </border>
    <border>
      <left style="double">
        <color indexed="64"/>
      </left>
      <right/>
      <top style="medium">
        <color rgb="FFF8F8F8"/>
      </top>
      <bottom style="thin">
        <color indexed="64"/>
      </bottom>
      <diagonal/>
    </border>
    <border>
      <left/>
      <right/>
      <top style="medium">
        <color rgb="FFF8F8F8"/>
      </top>
      <bottom style="thin">
        <color indexed="64"/>
      </bottom>
      <diagonal/>
    </border>
    <border>
      <left/>
      <right style="thin">
        <color rgb="FF808080"/>
      </right>
      <top style="medium">
        <color rgb="FFF8F8F8"/>
      </top>
      <bottom style="thin">
        <color indexed="64"/>
      </bottom>
      <diagonal/>
    </border>
    <border>
      <left style="double">
        <color indexed="64"/>
      </left>
      <right/>
      <top style="medium">
        <color rgb="FFF8F8F8"/>
      </top>
      <bottom/>
      <diagonal/>
    </border>
    <border>
      <left/>
      <right style="thin">
        <color rgb="FF808080"/>
      </right>
      <top style="medium">
        <color rgb="FFF8F8F8"/>
      </top>
      <bottom/>
      <diagonal/>
    </border>
    <border>
      <left/>
      <right style="double">
        <color indexed="64"/>
      </right>
      <top/>
      <bottom style="thin">
        <color rgb="FF777777"/>
      </bottom>
      <diagonal/>
    </border>
    <border>
      <left style="double">
        <color indexed="64"/>
      </left>
      <right/>
      <top/>
      <bottom/>
      <diagonal/>
    </border>
    <border>
      <left style="thin">
        <color indexed="8"/>
      </left>
      <right/>
      <top/>
      <bottom/>
      <diagonal/>
    </border>
    <border>
      <left style="double">
        <color indexed="64"/>
      </left>
      <right/>
      <top style="thin">
        <color indexed="64"/>
      </top>
      <bottom style="thin">
        <color rgb="FF777777"/>
      </bottom>
      <diagonal/>
    </border>
    <border>
      <left/>
      <right/>
      <top style="thin">
        <color indexed="64"/>
      </top>
      <bottom style="thin">
        <color rgb="FF777777"/>
      </bottom>
      <diagonal/>
    </border>
    <border>
      <left/>
      <right style="thin">
        <color indexed="8"/>
      </right>
      <top style="thin">
        <color indexed="64"/>
      </top>
      <bottom style="thin">
        <color rgb="FF777777"/>
      </bottom>
      <diagonal/>
    </border>
    <border>
      <left style="thin">
        <color indexed="8"/>
      </left>
      <right/>
      <top style="thin">
        <color indexed="64"/>
      </top>
      <bottom style="thin">
        <color rgb="FF777777"/>
      </bottom>
      <diagonal/>
    </border>
    <border>
      <left/>
      <right style="hair">
        <color indexed="8"/>
      </right>
      <top style="thin">
        <color rgb="FF777777"/>
      </top>
      <bottom style="thin">
        <color rgb="FF777777"/>
      </bottom>
      <diagonal/>
    </border>
    <border>
      <left style="double">
        <color indexed="64"/>
      </left>
      <right style="hair">
        <color indexed="64"/>
      </right>
      <top style="thin">
        <color rgb="FF777777"/>
      </top>
      <bottom style="thin">
        <color rgb="FF777777"/>
      </bottom>
      <diagonal/>
    </border>
    <border>
      <left style="thin">
        <color indexed="64"/>
      </left>
      <right style="hair">
        <color indexed="64"/>
      </right>
      <top style="thin">
        <color rgb="FF777777"/>
      </top>
      <bottom style="thin">
        <color rgb="FF777777"/>
      </bottom>
      <diagonal/>
    </border>
    <border>
      <left/>
      <right style="hair">
        <color indexed="8"/>
      </right>
      <top/>
      <bottom style="hair">
        <color indexed="64"/>
      </bottom>
      <diagonal/>
    </border>
    <border>
      <left/>
      <right/>
      <top/>
      <bottom style="hair">
        <color indexed="64"/>
      </bottom>
      <diagonal/>
    </border>
    <border>
      <left style="hair">
        <color indexed="8"/>
      </left>
      <right style="hair">
        <color auto="1"/>
      </right>
      <top/>
      <bottom style="hair">
        <color indexed="64"/>
      </bottom>
      <diagonal/>
    </border>
    <border>
      <left style="double">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rgb="FF808080"/>
      </right>
      <top style="thin">
        <color rgb="FF777777"/>
      </top>
      <bottom style="hair">
        <color indexed="64"/>
      </bottom>
      <diagonal/>
    </border>
    <border>
      <left/>
      <right style="double">
        <color indexed="64"/>
      </right>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indexed="64"/>
      </left>
      <right/>
      <top style="thin">
        <color rgb="FF777777"/>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rgb="FF808080"/>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rgb="FF777777"/>
      </right>
      <top style="thin">
        <color rgb="FFF8F8F8"/>
      </top>
      <bottom/>
      <diagonal/>
    </border>
    <border>
      <left style="thin">
        <color rgb="FF777777"/>
      </left>
      <right/>
      <top style="thin">
        <color rgb="FFF8F8F8"/>
      </top>
      <bottom style="thin">
        <color rgb="FF777777"/>
      </bottom>
      <diagonal/>
    </border>
    <border>
      <left/>
      <right style="thin">
        <color rgb="FF777777"/>
      </right>
      <top style="thin">
        <color rgb="FFF8F8F8"/>
      </top>
      <bottom style="thin">
        <color rgb="FF777777"/>
      </bottom>
      <diagonal/>
    </border>
    <border>
      <left style="thin">
        <color rgb="FF777777"/>
      </left>
      <right/>
      <top style="thin">
        <color rgb="FFF8F8F8"/>
      </top>
      <bottom/>
      <diagonal/>
    </border>
    <border>
      <left/>
      <right style="hair">
        <color indexed="8"/>
      </right>
      <top style="hair">
        <color indexed="64"/>
      </top>
      <bottom/>
      <diagonal/>
    </border>
    <border>
      <left/>
      <right/>
      <top style="hair">
        <color indexed="64"/>
      </top>
      <bottom/>
      <diagonal/>
    </border>
    <border>
      <left style="hair">
        <color indexed="8"/>
      </left>
      <right style="hair">
        <color auto="1"/>
      </right>
      <top style="hair">
        <color indexed="64"/>
      </top>
      <bottom style="thin">
        <color indexed="64"/>
      </bottom>
      <diagonal/>
    </border>
    <border>
      <left style="double">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rgb="FF808080"/>
      </right>
      <top style="hair">
        <color indexed="64"/>
      </top>
      <bottom/>
      <diagonal/>
    </border>
    <border>
      <left/>
      <right style="double">
        <color indexed="64"/>
      </right>
      <top style="hair">
        <color indexed="64"/>
      </top>
      <bottom/>
      <diagonal/>
    </border>
    <border>
      <left/>
      <right style="thin">
        <color rgb="FF777777"/>
      </right>
      <top style="thin">
        <color rgb="FF777777"/>
      </top>
      <bottom style="thin">
        <color rgb="FF777777"/>
      </bottom>
      <diagonal/>
    </border>
    <border>
      <left style="thin">
        <color rgb="FF777777"/>
      </left>
      <right/>
      <top style="thin">
        <color rgb="FF777777"/>
      </top>
      <bottom style="thin">
        <color rgb="FF777777"/>
      </bottom>
      <diagonal/>
    </border>
    <border>
      <left style="thin">
        <color rgb="FFDDDDDD"/>
      </left>
      <right style="thin">
        <color rgb="FF808080"/>
      </right>
      <top/>
      <bottom style="thin">
        <color indexed="23"/>
      </bottom>
      <diagonal/>
    </border>
    <border>
      <left/>
      <right/>
      <top style="thin">
        <color auto="1"/>
      </top>
      <bottom/>
      <diagonal/>
    </border>
    <border>
      <left style="hair">
        <color indexed="64"/>
      </left>
      <right/>
      <top style="thin">
        <color indexed="64"/>
      </top>
      <bottom/>
      <diagonal/>
    </border>
    <border>
      <left style="hair">
        <color indexed="64"/>
      </left>
      <right style="thin">
        <color rgb="FF808080"/>
      </right>
      <top style="thin">
        <color indexed="64"/>
      </top>
      <bottom/>
      <diagonal/>
    </border>
    <border>
      <left style="double">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rgb="FFDDDDDD"/>
      </left>
      <right style="hair">
        <color indexed="64"/>
      </right>
      <top style="thin">
        <color rgb="FFF8F8F8"/>
      </top>
      <bottom style="thin">
        <color rgb="FF777777"/>
      </bottom>
      <diagonal/>
    </border>
    <border>
      <left style="hair">
        <color indexed="64"/>
      </left>
      <right style="hair">
        <color indexed="64"/>
      </right>
      <top style="thin">
        <color rgb="FFF8F8F8"/>
      </top>
      <bottom style="thin">
        <color rgb="FF777777"/>
      </bottom>
      <diagonal/>
    </border>
    <border>
      <left/>
      <right style="hair">
        <color indexed="64"/>
      </right>
      <top style="thin">
        <color rgb="FFF8F8F8"/>
      </top>
      <bottom style="thin">
        <color rgb="FF777777"/>
      </bottom>
      <diagonal/>
    </border>
    <border>
      <left style="hair">
        <color indexed="64"/>
      </left>
      <right/>
      <top style="thin">
        <color rgb="FFF8F8F8"/>
      </top>
      <bottom style="thin">
        <color rgb="FF777777"/>
      </bottom>
      <diagonal/>
    </border>
    <border>
      <left style="double">
        <color indexed="64"/>
      </left>
      <right style="hair">
        <color indexed="64"/>
      </right>
      <top style="thin">
        <color rgb="FFF8F8F8"/>
      </top>
      <bottom style="thin">
        <color rgb="FF777777"/>
      </bottom>
      <diagonal/>
    </border>
    <border>
      <left style="thin">
        <color indexed="8"/>
      </left>
      <right style="hair">
        <color indexed="64"/>
      </right>
      <top style="thin">
        <color rgb="FFF8F8F8"/>
      </top>
      <bottom style="thin">
        <color rgb="FF777777"/>
      </bottom>
      <diagonal/>
    </border>
    <border>
      <left/>
      <right style="double">
        <color indexed="64"/>
      </right>
      <top style="thin">
        <color rgb="FFF8F8F8"/>
      </top>
      <bottom style="thin">
        <color rgb="FF777777"/>
      </bottom>
      <diagonal/>
    </border>
    <border>
      <left style="hair">
        <color indexed="8"/>
      </left>
      <right/>
      <top/>
      <bottom style="hair">
        <color indexed="64"/>
      </bottom>
      <diagonal/>
    </border>
    <border>
      <left style="thin">
        <color indexed="8"/>
      </left>
      <right style="hair">
        <color indexed="64"/>
      </right>
      <top/>
      <bottom style="hair">
        <color indexed="64"/>
      </bottom>
      <diagonal/>
    </border>
    <border>
      <left style="hair">
        <color indexed="8"/>
      </left>
      <right/>
      <top style="hair">
        <color indexed="64"/>
      </top>
      <bottom style="hair">
        <color indexed="64"/>
      </bottom>
      <diagonal/>
    </border>
    <border>
      <left style="thin">
        <color indexed="8"/>
      </left>
      <right style="hair">
        <color indexed="64"/>
      </right>
      <top style="hair">
        <color indexed="64"/>
      </top>
      <bottom style="hair">
        <color indexed="64"/>
      </bottom>
      <diagonal/>
    </border>
    <border diagonalUp="1">
      <left style="thin">
        <color rgb="FF777777"/>
      </left>
      <right style="thin">
        <color rgb="FF808080"/>
      </right>
      <top style="thin">
        <color rgb="FF777777"/>
      </top>
      <bottom style="thin">
        <color rgb="FF777777"/>
      </bottom>
      <diagonal style="thin">
        <color rgb="FF777777"/>
      </diagonal>
    </border>
    <border>
      <left style="hair">
        <color indexed="8"/>
      </left>
      <right/>
      <top style="hair">
        <color indexed="64"/>
      </top>
      <bottom/>
      <diagonal/>
    </border>
    <border>
      <left style="thin">
        <color indexed="8"/>
      </left>
      <right style="hair">
        <color indexed="64"/>
      </right>
      <top style="hair">
        <color indexed="64"/>
      </top>
      <bottom/>
      <diagonal/>
    </border>
    <border>
      <left style="thin">
        <color indexed="8"/>
      </left>
      <right/>
      <top style="thin">
        <color indexed="64"/>
      </top>
      <bottom/>
      <diagonal/>
    </border>
    <border>
      <left style="thin">
        <color indexed="64"/>
      </left>
      <right/>
      <top style="thin">
        <color indexed="64"/>
      </top>
      <bottom/>
      <diagonal/>
    </border>
    <border>
      <left style="thin">
        <color indexed="8"/>
      </left>
      <right style="hair">
        <color indexed="64"/>
      </right>
      <top style="thin">
        <color indexed="64"/>
      </top>
      <bottom/>
      <diagonal/>
    </border>
    <border>
      <left style="thin">
        <color rgb="FFDDDDDD"/>
      </left>
      <right/>
      <top style="thin">
        <color indexed="23"/>
      </top>
      <bottom/>
      <diagonal/>
    </border>
    <border>
      <left style="thin">
        <color indexed="64"/>
      </left>
      <right style="hair">
        <color indexed="64"/>
      </right>
      <top style="thin">
        <color rgb="FFF8F8F8"/>
      </top>
      <bottom style="thin">
        <color rgb="FF777777"/>
      </bottom>
      <diagonal/>
    </border>
    <border>
      <left/>
      <right style="thin">
        <color rgb="FF777777"/>
      </right>
      <top/>
      <bottom/>
      <diagonal/>
    </border>
    <border>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808080"/>
      </left>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
      <left style="thin">
        <color indexed="23"/>
      </left>
      <right style="thin">
        <color rgb="FF808080"/>
      </right>
      <top/>
      <bottom/>
      <diagonal/>
    </border>
    <border>
      <left/>
      <right style="double">
        <color indexed="64"/>
      </right>
      <top/>
      <bottom/>
      <diagonal/>
    </border>
    <border>
      <left/>
      <right style="thin">
        <color indexed="64"/>
      </right>
      <top style="thin">
        <color indexed="64"/>
      </top>
      <bottom/>
      <diagonal/>
    </border>
    <border>
      <left/>
      <right style="hair">
        <color indexed="64"/>
      </right>
      <top style="thin">
        <color indexed="64"/>
      </top>
      <bottom/>
      <diagonal/>
    </border>
    <border>
      <left/>
      <right style="thin">
        <color rgb="FF808080"/>
      </right>
      <top style="thin">
        <color indexed="64"/>
      </top>
      <bottom/>
      <diagonal/>
    </border>
    <border>
      <left/>
      <right style="double">
        <color indexed="64"/>
      </right>
      <top style="thin">
        <color indexed="64"/>
      </top>
      <bottom/>
      <diagonal/>
    </border>
    <border>
      <left style="thin">
        <color rgb="FFDDDDDD"/>
      </left>
      <right/>
      <top style="thin">
        <color rgb="FF808080"/>
      </top>
      <bottom/>
      <diagonal/>
    </border>
    <border>
      <left style="hair">
        <color indexed="8"/>
      </left>
      <right/>
      <top style="thin">
        <color rgb="FF777777"/>
      </top>
      <bottom style="hair">
        <color indexed="64"/>
      </bottom>
      <diagonal/>
    </border>
    <border>
      <left style="hair">
        <color indexed="64"/>
      </left>
      <right/>
      <top style="thin">
        <color rgb="FF777777"/>
      </top>
      <bottom style="hair">
        <color indexed="64"/>
      </bottom>
      <diagonal/>
    </border>
    <border>
      <left/>
      <right style="double">
        <color indexed="64"/>
      </right>
      <top style="thin">
        <color rgb="FF777777"/>
      </top>
      <bottom style="hair">
        <color indexed="64"/>
      </bottom>
      <diagonal/>
    </border>
    <border>
      <left style="hair">
        <color indexed="64"/>
      </left>
      <right/>
      <top style="hair">
        <color indexed="64"/>
      </top>
      <bottom style="hair">
        <color indexed="64"/>
      </bottom>
      <diagonal/>
    </border>
    <border>
      <left style="thin">
        <color rgb="FFDDDDDD"/>
      </left>
      <right style="thin">
        <color rgb="FF808080"/>
      </right>
      <top/>
      <bottom style="thin">
        <color rgb="FF808080"/>
      </bottom>
      <diagonal/>
    </border>
    <border>
      <left style="thin">
        <color rgb="FF777777"/>
      </left>
      <right style="thin">
        <color rgb="FF808080"/>
      </right>
      <top/>
      <bottom/>
      <diagonal/>
    </border>
    <border>
      <left style="thin">
        <color rgb="FF808080"/>
      </left>
      <right/>
      <top style="thin">
        <color rgb="FF777777"/>
      </top>
      <bottom style="hair">
        <color indexed="64"/>
      </bottom>
      <diagonal/>
    </border>
    <border>
      <left/>
      <right style="double">
        <color indexed="64"/>
      </right>
      <top style="hair">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rgb="FFDDDDDD"/>
      </left>
      <right/>
      <top style="thin">
        <color rgb="FF777777"/>
      </top>
      <bottom/>
      <diagonal/>
    </border>
    <border>
      <left/>
      <right style="thin">
        <color rgb="FF777777"/>
      </right>
      <top style="thin">
        <color rgb="FF777777"/>
      </top>
      <bottom/>
      <diagonal/>
    </border>
    <border>
      <left style="thin">
        <color rgb="FF777777"/>
      </left>
      <right style="thin">
        <color rgb="FF808080"/>
      </right>
      <top style="thin">
        <color rgb="FF777777"/>
      </top>
      <bottom/>
      <diagonal/>
    </border>
    <border>
      <left style="thin">
        <color rgb="FFDDDDDD"/>
      </left>
      <right style="thin">
        <color rgb="FF808080"/>
      </right>
      <top/>
      <bottom style="double">
        <color indexed="64"/>
      </bottom>
      <diagonal/>
    </border>
    <border>
      <left style="thin">
        <color rgb="FFDDDDDD"/>
      </left>
      <right style="thin">
        <color rgb="FF808080"/>
      </right>
      <top style="thin">
        <color rgb="FF777777"/>
      </top>
      <bottom style="double">
        <color indexed="64"/>
      </bottom>
      <diagonal/>
    </border>
    <border>
      <left style="thin">
        <color rgb="FFDDDDDD"/>
      </left>
      <right/>
      <top/>
      <bottom style="thin">
        <color indexed="64"/>
      </bottom>
      <diagonal/>
    </border>
    <border>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23"/>
      </left>
      <right style="thin">
        <color rgb="FF808080"/>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rgb="FF777777"/>
      </top>
      <bottom/>
      <diagonal/>
    </border>
    <border>
      <left style="thin">
        <color rgb="FFDDDDDD"/>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808080"/>
      </right>
      <top style="thin">
        <color indexed="64"/>
      </top>
      <bottom style="thin">
        <color indexed="64"/>
      </bottom>
      <diagonal/>
    </border>
    <border>
      <left style="double">
        <color indexed="64"/>
      </left>
      <right style="hair">
        <color indexed="64"/>
      </right>
      <top style="thin">
        <color indexed="64"/>
      </top>
      <bottom style="thin">
        <color auto="1"/>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rgb="FFDDDDDD"/>
      </left>
      <right/>
      <top style="thin">
        <color indexed="64"/>
      </top>
      <bottom/>
      <diagonal/>
    </border>
    <border>
      <left style="hair">
        <color indexed="64"/>
      </left>
      <right style="thin">
        <color indexed="64"/>
      </right>
      <top style="thin">
        <color indexed="64"/>
      </top>
      <bottom/>
      <diagonal/>
    </border>
    <border>
      <left style="thin">
        <color indexed="23"/>
      </left>
      <right style="thin">
        <color rgb="FF808080"/>
      </right>
      <top style="thin">
        <color indexed="64"/>
      </top>
      <bottom/>
      <diagonal/>
    </border>
    <border>
      <left style="double">
        <color auto="1"/>
      </left>
      <right style="hair">
        <color auto="1"/>
      </right>
      <top style="thin">
        <color auto="1"/>
      </top>
      <bottom style="thin">
        <color rgb="FFF8F8F8"/>
      </bottom>
      <diagonal/>
    </border>
    <border>
      <left style="thin">
        <color rgb="FFDDDDDD"/>
      </left>
      <right/>
      <top style="medium">
        <color theme="0" tint="-0.14993743705557422"/>
      </top>
      <bottom/>
      <diagonal/>
    </border>
    <border>
      <left style="hair">
        <color indexed="64"/>
      </left>
      <right style="thin">
        <color indexed="64"/>
      </right>
      <top style="thin">
        <color rgb="FFF8F8F8"/>
      </top>
      <bottom style="thin">
        <color rgb="FF777777"/>
      </bottom>
      <diagonal/>
    </border>
    <border>
      <left style="thin">
        <color indexed="23"/>
      </left>
      <right style="thin">
        <color rgb="FF808080"/>
      </right>
      <top style="thin">
        <color rgb="FFF8F8F8"/>
      </top>
      <bottom style="thin">
        <color rgb="FF777777"/>
      </bottom>
      <diagonal/>
    </border>
    <border>
      <left style="hair">
        <color indexed="64"/>
      </left>
      <right style="thin">
        <color indexed="64"/>
      </right>
      <top/>
      <bottom style="hair">
        <color indexed="64"/>
      </bottom>
      <diagonal/>
    </border>
    <border>
      <left style="double">
        <color indexed="64"/>
      </left>
      <right/>
      <top style="thin">
        <color rgb="FF777777"/>
      </top>
      <bottom/>
      <diagonal/>
    </border>
    <border>
      <left/>
      <right style="thin">
        <color indexed="64"/>
      </right>
      <top style="thin">
        <color rgb="FF777777"/>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rgb="FFDDDDDD"/>
      </left>
      <right/>
      <top/>
      <bottom style="double">
        <color indexed="64"/>
      </bottom>
      <diagonal/>
    </border>
    <border>
      <left style="thin">
        <color indexed="23"/>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rgb="FF808080"/>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rgb="FFDDDDDD"/>
      </left>
      <right style="thin">
        <color rgb="FF777777"/>
      </right>
      <top style="thin">
        <color rgb="FF777777"/>
      </top>
      <bottom/>
      <diagonal/>
    </border>
    <border>
      <left style="thin">
        <color rgb="FFDDDDDD"/>
      </left>
      <right/>
      <top style="double">
        <color indexed="64"/>
      </top>
      <bottom/>
      <diagonal/>
    </border>
    <border>
      <left style="thin">
        <color indexed="23"/>
      </left>
      <right/>
      <top style="double">
        <color indexed="64"/>
      </top>
      <bottom/>
      <diagonal/>
    </border>
    <border>
      <left/>
      <right/>
      <top style="double">
        <color indexed="64"/>
      </top>
      <bottom/>
      <diagonal/>
    </border>
    <border>
      <left style="double">
        <color indexed="64"/>
      </left>
      <right style="hair">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diagonal/>
    </border>
    <border>
      <left/>
      <right style="thin">
        <color rgb="FF808080"/>
      </right>
      <top style="double">
        <color indexed="64"/>
      </top>
      <bottom/>
      <diagonal/>
    </border>
    <border>
      <left/>
      <right style="double">
        <color indexed="64"/>
      </right>
      <top style="double">
        <color indexed="64"/>
      </top>
      <bottom/>
      <diagonal/>
    </border>
    <border>
      <left style="thin">
        <color rgb="FFDDDDDD"/>
      </left>
      <right/>
      <top style="thin">
        <color indexed="64"/>
      </top>
      <bottom style="thin">
        <color rgb="FF777777"/>
      </bottom>
      <diagonal/>
    </border>
    <border>
      <left style="thin">
        <color indexed="23"/>
      </left>
      <right/>
      <top style="thin">
        <color indexed="64"/>
      </top>
      <bottom style="thin">
        <color rgb="FF777777"/>
      </bottom>
      <diagonal/>
    </border>
    <border>
      <left style="double">
        <color indexed="64"/>
      </left>
      <right style="hair">
        <color indexed="64"/>
      </right>
      <top style="thin">
        <color indexed="64"/>
      </top>
      <bottom style="thin">
        <color rgb="FF777777"/>
      </bottom>
      <diagonal/>
    </border>
    <border>
      <left/>
      <right style="thin">
        <color indexed="64"/>
      </right>
      <top style="thin">
        <color indexed="64"/>
      </top>
      <bottom style="thin">
        <color rgb="FF777777"/>
      </bottom>
      <diagonal/>
    </border>
    <border>
      <left/>
      <right style="thin">
        <color rgb="FF808080"/>
      </right>
      <top style="thin">
        <color indexed="64"/>
      </top>
      <bottom style="thin">
        <color rgb="FF777777"/>
      </bottom>
      <diagonal/>
    </border>
    <border>
      <left/>
      <right style="double">
        <color indexed="64"/>
      </right>
      <top style="thin">
        <color indexed="64"/>
      </top>
      <bottom style="thin">
        <color rgb="FF777777"/>
      </bottom>
      <diagonal/>
    </border>
    <border>
      <left/>
      <right style="double">
        <color indexed="64"/>
      </right>
      <top style="thin">
        <color rgb="FFF8F8F8"/>
      </top>
      <bottom/>
      <diagonal/>
    </border>
    <border>
      <left style="double">
        <color indexed="64"/>
      </left>
      <right/>
      <top style="thin">
        <color rgb="FFF8F8F8"/>
      </top>
      <bottom style="thin">
        <color indexed="23"/>
      </bottom>
      <diagonal/>
    </border>
    <border>
      <left/>
      <right/>
      <top style="thin">
        <color rgb="FFF8F8F8"/>
      </top>
      <bottom style="thin">
        <color indexed="23"/>
      </bottom>
      <diagonal/>
    </border>
    <border>
      <left style="thin">
        <color indexed="8"/>
      </left>
      <right/>
      <top style="thin">
        <color rgb="FFF8F8F8"/>
      </top>
      <bottom style="thin">
        <color indexed="23"/>
      </bottom>
      <diagonal/>
    </border>
    <border>
      <left/>
      <right style="thin">
        <color rgb="FF808080"/>
      </right>
      <top style="thin">
        <color rgb="FFF8F8F8"/>
      </top>
      <bottom style="thin">
        <color indexed="23"/>
      </bottom>
      <diagonal/>
    </border>
    <border>
      <left style="double">
        <color indexed="64"/>
      </left>
      <right style="hair">
        <color indexed="64"/>
      </right>
      <top style="medium">
        <color rgb="FFF8F8F8"/>
      </top>
      <bottom style="thin">
        <color rgb="FF777777"/>
      </bottom>
      <diagonal/>
    </border>
    <border>
      <left/>
      <right style="thin">
        <color indexed="8"/>
      </right>
      <top style="medium">
        <color rgb="FFF8F8F8"/>
      </top>
      <bottom style="thin">
        <color rgb="FF777777"/>
      </bottom>
      <diagonal/>
    </border>
    <border>
      <left style="thin">
        <color indexed="8"/>
      </left>
      <right style="hair">
        <color indexed="64"/>
      </right>
      <top style="medium">
        <color rgb="FFF8F8F8"/>
      </top>
      <bottom style="thin">
        <color rgb="FF777777"/>
      </bottom>
      <diagonal/>
    </border>
    <border>
      <left/>
      <right style="double">
        <color indexed="64"/>
      </right>
      <top style="medium">
        <color rgb="FFF8F8F8"/>
      </top>
      <bottom style="thin">
        <color rgb="FF777777"/>
      </bottom>
      <diagonal/>
    </border>
    <border>
      <left style="thin">
        <color indexed="8"/>
      </left>
      <right style="hair">
        <color indexed="64"/>
      </right>
      <top/>
      <bottom/>
      <diagonal/>
    </border>
    <border>
      <left style="double">
        <color indexed="64"/>
      </left>
      <right style="hair">
        <color indexed="64"/>
      </right>
      <top style="thin">
        <color rgb="FF777777"/>
      </top>
      <bottom style="hair">
        <color indexed="64"/>
      </bottom>
      <diagonal/>
    </border>
    <border>
      <left/>
      <right style="thin">
        <color indexed="64"/>
      </right>
      <top style="thin">
        <color rgb="FF777777"/>
      </top>
      <bottom style="hair">
        <color indexed="64"/>
      </bottom>
      <diagonal/>
    </border>
    <border>
      <left style="thin">
        <color indexed="64"/>
      </left>
      <right style="hair">
        <color indexed="64"/>
      </right>
      <top style="thin">
        <color rgb="FF777777"/>
      </top>
      <bottom style="hair">
        <color indexed="64"/>
      </bottom>
      <diagonal/>
    </border>
    <border>
      <left style="hair">
        <color indexed="64"/>
      </left>
      <right style="thin">
        <color indexed="64"/>
      </right>
      <top style="thin">
        <color rgb="FF777777"/>
      </top>
      <bottom style="hair">
        <color indexed="64"/>
      </bottom>
      <diagonal/>
    </border>
    <border>
      <left style="thin">
        <color rgb="FFDDDDDD"/>
      </left>
      <right/>
      <top/>
      <bottom style="hair">
        <color indexed="64"/>
      </bottom>
      <diagonal/>
    </border>
    <border>
      <left style="double">
        <color indexed="64"/>
      </left>
      <right style="hair">
        <color indexed="64"/>
      </right>
      <top/>
      <bottom style="thin">
        <color rgb="FF777777"/>
      </bottom>
      <diagonal/>
    </border>
    <border>
      <left style="thin">
        <color indexed="64"/>
      </left>
      <right style="hair">
        <color indexed="64"/>
      </right>
      <top/>
      <bottom style="thin">
        <color rgb="FF777777"/>
      </bottom>
      <diagonal/>
    </border>
    <border>
      <left style="double">
        <color indexed="64"/>
      </left>
      <right style="hair">
        <color indexed="64"/>
      </right>
      <top style="hair">
        <color indexed="64"/>
      </top>
      <bottom style="thin">
        <color rgb="FF777777"/>
      </bottom>
      <diagonal/>
    </border>
    <border>
      <left/>
      <right style="thin">
        <color indexed="64"/>
      </right>
      <top style="hair">
        <color indexed="64"/>
      </top>
      <bottom style="thin">
        <color rgb="FF777777"/>
      </bottom>
      <diagonal/>
    </border>
    <border>
      <left style="thin">
        <color indexed="64"/>
      </left>
      <right style="hair">
        <color indexed="64"/>
      </right>
      <top style="hair">
        <color indexed="64"/>
      </top>
      <bottom style="thin">
        <color rgb="FF777777"/>
      </bottom>
      <diagonal/>
    </border>
    <border>
      <left/>
      <right style="double">
        <color auto="1"/>
      </right>
      <top style="hair">
        <color indexed="64"/>
      </top>
      <bottom style="thin">
        <color rgb="FF777777"/>
      </bottom>
      <diagonal/>
    </border>
    <border diagonalUp="1">
      <left style="thin">
        <color indexed="64"/>
      </left>
      <right/>
      <top style="thin">
        <color rgb="FF777777"/>
      </top>
      <bottom style="hair">
        <color indexed="64"/>
      </bottom>
      <diagonal style="thin">
        <color indexed="64"/>
      </diagonal>
    </border>
    <border diagonalUp="1">
      <left/>
      <right style="thin">
        <color rgb="FF808080"/>
      </right>
      <top style="thin">
        <color rgb="FF777777"/>
      </top>
      <bottom style="hair">
        <color indexed="64"/>
      </bottom>
      <diagonal style="thin">
        <color indexed="64"/>
      </diagonal>
    </border>
    <border diagonalUp="1">
      <left style="double">
        <color auto="1"/>
      </left>
      <right/>
      <top style="hair">
        <color indexed="64"/>
      </top>
      <bottom style="thin">
        <color rgb="FF777777"/>
      </bottom>
      <diagonal style="thin">
        <color auto="1"/>
      </diagonal>
    </border>
    <border diagonalUp="1">
      <left/>
      <right/>
      <top style="hair">
        <color indexed="64"/>
      </top>
      <bottom style="thin">
        <color rgb="FF777777"/>
      </bottom>
      <diagonal style="thin">
        <color auto="1"/>
      </diagonal>
    </border>
    <border diagonalUp="1">
      <left/>
      <right style="thin">
        <color indexed="64"/>
      </right>
      <top style="hair">
        <color indexed="64"/>
      </top>
      <bottom style="thin">
        <color rgb="FF777777"/>
      </bottom>
      <diagonal style="thin">
        <color auto="1"/>
      </diagonal>
    </border>
    <border>
      <left style="double">
        <color indexed="64"/>
      </left>
      <right/>
      <top style="medium">
        <color rgb="FFF8F8F8"/>
      </top>
      <bottom style="thin">
        <color rgb="FF777777"/>
      </bottom>
      <diagonal/>
    </border>
    <border>
      <left/>
      <right style="thin">
        <color indexed="64"/>
      </right>
      <top style="medium">
        <color rgb="FFF8F8F8"/>
      </top>
      <bottom style="thin">
        <color rgb="FF777777"/>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auto="1"/>
      </left>
      <right/>
      <top style="hair">
        <color indexed="64"/>
      </top>
      <bottom style="thin">
        <color rgb="FF777777"/>
      </bottom>
      <diagonal/>
    </border>
    <border>
      <left style="thin">
        <color indexed="64"/>
      </left>
      <right/>
      <top style="hair">
        <color indexed="64"/>
      </top>
      <bottom style="thin">
        <color rgb="FF777777"/>
      </bottom>
      <diagonal/>
    </border>
    <border>
      <left style="hair">
        <color indexed="64"/>
      </left>
      <right style="hair">
        <color indexed="64"/>
      </right>
      <top/>
      <bottom style="thin">
        <color rgb="FF777777"/>
      </bottom>
      <diagonal/>
    </border>
    <border>
      <left style="thin">
        <color indexed="64"/>
      </left>
      <right style="thin">
        <color indexed="64"/>
      </right>
      <top/>
      <bottom style="thin">
        <color rgb="FF777777"/>
      </bottom>
      <diagonal/>
    </border>
    <border>
      <left style="hair">
        <color indexed="64"/>
      </left>
      <right style="thin">
        <color indexed="64"/>
      </right>
      <top/>
      <bottom style="thin">
        <color rgb="FF777777"/>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rgb="FFDDDDDD"/>
      </left>
      <right style="hair">
        <color indexed="64"/>
      </right>
      <top/>
      <bottom style="hair">
        <color indexed="64"/>
      </bottom>
      <diagonal/>
    </border>
    <border>
      <left style="thin">
        <color indexed="64"/>
      </left>
      <right style="thin">
        <color indexed="64"/>
      </right>
      <top style="thin">
        <color rgb="FF777777"/>
      </top>
      <bottom style="hair">
        <color indexed="64"/>
      </bottom>
      <diagonal/>
    </border>
    <border>
      <left style="thin">
        <color rgb="FFDDDDDD"/>
      </left>
      <right style="hair">
        <color indexed="64"/>
      </right>
      <top style="thin">
        <color rgb="FF777777"/>
      </top>
      <bottom style="hair">
        <color indexed="64"/>
      </bottom>
      <diagonal/>
    </border>
    <border>
      <left style="thin">
        <color rgb="FF777777"/>
      </left>
      <right/>
      <top/>
      <bottom style="thin">
        <color rgb="FF777777"/>
      </bottom>
      <diagonal/>
    </border>
    <border>
      <left style="thin">
        <color rgb="FF777777"/>
      </left>
      <right style="thin">
        <color rgb="FF808080"/>
      </right>
      <top style="medium">
        <color rgb="FFF8F8F8"/>
      </top>
      <bottom/>
      <diagonal/>
    </border>
    <border>
      <left style="thin">
        <color rgb="FF777777"/>
      </left>
      <right style="thin">
        <color rgb="FF777777"/>
      </right>
      <top style="medium">
        <color rgb="FFF8F8F8"/>
      </top>
      <bottom/>
      <diagonal/>
    </border>
    <border>
      <left style="thin">
        <color rgb="FFDDDDDD"/>
      </left>
      <right style="thin">
        <color rgb="FF777777"/>
      </right>
      <top style="medium">
        <color rgb="FFF8F8F8"/>
      </top>
      <bottom/>
      <diagonal/>
    </border>
    <border>
      <left style="thin">
        <color rgb="FF777777"/>
      </left>
      <right/>
      <top style="medium">
        <color rgb="FFF8F8F8"/>
      </top>
      <bottom/>
      <diagonal/>
    </border>
    <border>
      <left/>
      <right style="thin">
        <color rgb="FF777777"/>
      </right>
      <top style="medium">
        <color rgb="FFF8F8F8"/>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rgb="FFF8F8F8"/>
      </top>
      <bottom style="hair">
        <color indexed="64"/>
      </bottom>
      <diagonal/>
    </border>
    <border>
      <left style="thin">
        <color indexed="64"/>
      </left>
      <right style="thin">
        <color indexed="64"/>
      </right>
      <top style="thin">
        <color rgb="FFF8F8F8"/>
      </top>
      <bottom/>
      <diagonal/>
    </border>
    <border>
      <left style="thin">
        <color rgb="FF777777"/>
      </left>
      <right style="thin">
        <color rgb="FF777777"/>
      </right>
      <top style="medium">
        <color rgb="FFF8F8F8"/>
      </top>
      <bottom style="thin">
        <color rgb="FF777777"/>
      </bottom>
      <diagonal/>
    </border>
    <border>
      <left style="thin">
        <color rgb="FFDDDDDD"/>
      </left>
      <right style="thin">
        <color rgb="FF777777"/>
      </right>
      <top style="medium">
        <color rgb="FFF8F8F8"/>
      </top>
      <bottom style="thin">
        <color rgb="FF777777"/>
      </bottom>
      <diagonal/>
    </border>
    <border>
      <left/>
      <right/>
      <top style="double">
        <color rgb="FF777777"/>
      </top>
      <bottom style="thin">
        <color rgb="FF777777"/>
      </bottom>
      <diagonal/>
    </border>
    <border>
      <left style="thin">
        <color rgb="FFDDDDDD"/>
      </left>
      <right/>
      <top style="double">
        <color rgb="FF777777"/>
      </top>
      <bottom style="thin">
        <color rgb="FF777777"/>
      </bottom>
      <diagonal/>
    </border>
    <border>
      <left style="hair">
        <color rgb="FF000000"/>
      </left>
      <right/>
      <top style="double">
        <color rgb="FF777777"/>
      </top>
      <bottom style="thin">
        <color rgb="FF777777"/>
      </bottom>
      <diagonal/>
    </border>
    <border>
      <left style="thin">
        <color rgb="FF000000"/>
      </left>
      <right/>
      <top style="double">
        <color rgb="FF777777"/>
      </top>
      <bottom style="thin">
        <color rgb="FF777777"/>
      </bottom>
      <diagonal/>
    </border>
    <border>
      <left style="hair">
        <color rgb="FF000000"/>
      </left>
      <right style="thin">
        <color rgb="FF808080"/>
      </right>
      <top style="double">
        <color rgb="FF777777"/>
      </top>
      <bottom style="thin">
        <color rgb="FF777777"/>
      </bottom>
      <diagonal/>
    </border>
    <border>
      <left/>
      <right style="hair">
        <color rgb="FF000000"/>
      </right>
      <top style="double">
        <color rgb="FF777777"/>
      </top>
      <bottom style="thin">
        <color rgb="FF777777"/>
      </bottom>
      <diagonal/>
    </border>
    <border>
      <left style="thin">
        <color indexed="64"/>
      </left>
      <right/>
      <top style="hair">
        <color indexed="64"/>
      </top>
      <bottom/>
      <diagonal/>
    </border>
    <border>
      <left/>
      <right/>
      <top/>
      <bottom style="thin">
        <color rgb="FFF8F8F8"/>
      </bottom>
      <diagonal/>
    </border>
    <border>
      <left/>
      <right/>
      <top style="medium">
        <color rgb="FF5F5F5F"/>
      </top>
      <bottom/>
      <diagonal/>
    </border>
    <border>
      <left/>
      <right/>
      <top/>
      <bottom style="medium">
        <color rgb="FF5F5F5F"/>
      </bottom>
      <diagonal/>
    </border>
    <border>
      <left/>
      <right style="thin">
        <color rgb="FFF8F8F8"/>
      </right>
      <top/>
      <bottom style="medium">
        <color rgb="FFF8F8F8"/>
      </bottom>
      <diagonal/>
    </border>
    <border>
      <left style="thin">
        <color rgb="FFDDDDDD"/>
      </left>
      <right/>
      <top/>
      <bottom style="medium">
        <color rgb="FFF8F8F8"/>
      </bottom>
      <diagonal/>
    </border>
    <border>
      <left/>
      <right style="thin">
        <color rgb="FFF8F8F8"/>
      </right>
      <top style="thin">
        <color rgb="FFB2B2B2"/>
      </top>
      <bottom/>
      <diagonal/>
    </border>
    <border>
      <left style="thin">
        <color rgb="FFDDDDDD"/>
      </left>
      <right/>
      <top style="thin">
        <color rgb="FFB2B2B2"/>
      </top>
      <bottom/>
      <diagonal/>
    </border>
    <border>
      <left style="thin">
        <color rgb="FFDDDDDD"/>
      </left>
      <right/>
      <top style="double">
        <color rgb="FF000000"/>
      </top>
      <bottom style="hair">
        <color rgb="FF000000"/>
      </bottom>
      <diagonal/>
    </border>
    <border>
      <left style="hair">
        <color rgb="FF000000"/>
      </left>
      <right/>
      <top style="double">
        <color rgb="FF000000"/>
      </top>
      <bottom style="hair">
        <color rgb="FF000000"/>
      </bottom>
      <diagonal/>
    </border>
    <border>
      <left style="thin">
        <color rgb="FF000000"/>
      </left>
      <right/>
      <top style="double">
        <color rgb="FF000000"/>
      </top>
      <bottom style="hair">
        <color rgb="FF000000"/>
      </bottom>
      <diagonal/>
    </border>
    <border>
      <left style="thin">
        <color rgb="FF000000"/>
      </left>
      <right style="thin">
        <color rgb="FF808080"/>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style="thin">
        <color indexed="64"/>
      </left>
      <right style="thin">
        <color rgb="FF808080"/>
      </right>
      <top style="thin">
        <color rgb="FFF8F8F8"/>
      </top>
      <bottom/>
      <diagonal/>
    </border>
    <border>
      <left style="thin">
        <color indexed="64"/>
      </left>
      <right style="thin">
        <color rgb="FF808080"/>
      </right>
      <top/>
      <bottom/>
      <diagonal/>
    </border>
    <border>
      <left style="hair">
        <color indexed="64"/>
      </left>
      <right style="thin">
        <color indexed="64"/>
      </right>
      <top style="thin">
        <color rgb="FFDDDDDD"/>
      </top>
      <bottom style="thin">
        <color rgb="FF777777"/>
      </bottom>
      <diagonal/>
    </border>
    <border>
      <left/>
      <right style="hair">
        <color indexed="64"/>
      </right>
      <top style="thin">
        <color rgb="FFDDDDDD"/>
      </top>
      <bottom style="thin">
        <color rgb="FF777777"/>
      </bottom>
      <diagonal/>
    </border>
    <border>
      <left style="thin">
        <color indexed="64"/>
      </left>
      <right style="hair">
        <color indexed="64"/>
      </right>
      <top style="thin">
        <color rgb="FFDDDDDD"/>
      </top>
      <bottom style="thin">
        <color rgb="FF777777"/>
      </bottom>
      <diagonal/>
    </border>
    <border>
      <left/>
      <right style="thin">
        <color indexed="64"/>
      </right>
      <top style="thin">
        <color rgb="FFDDDDDD"/>
      </top>
      <bottom style="thin">
        <color rgb="FF777777"/>
      </bottom>
      <diagonal/>
    </border>
    <border>
      <left/>
      <right style="thin">
        <color rgb="FF808080"/>
      </right>
      <top style="thin">
        <color rgb="FFDDDDDD"/>
      </top>
      <bottom style="thin">
        <color rgb="FF777777"/>
      </bottom>
      <diagonal/>
    </border>
    <border>
      <left style="thin">
        <color rgb="FFDDDDDD"/>
      </left>
      <right/>
      <top style="thin">
        <color rgb="FFDDDDDD"/>
      </top>
      <bottom style="thin">
        <color rgb="FF777777"/>
      </bottom>
      <diagonal/>
    </border>
    <border>
      <left/>
      <right/>
      <top style="thin">
        <color rgb="FFDDDDDD"/>
      </top>
      <bottom style="thin">
        <color rgb="FF777777"/>
      </bottom>
      <diagonal/>
    </border>
    <border>
      <left style="thin">
        <color rgb="FFDDDDDD"/>
      </left>
      <right/>
      <top style="thin">
        <color rgb="FFDDDDDD"/>
      </top>
      <bottom/>
      <diagonal/>
    </border>
    <border>
      <left/>
      <right/>
      <top style="thin">
        <color rgb="FFDDDDDD"/>
      </top>
      <bottom/>
      <diagonal/>
    </border>
    <border>
      <left/>
      <right style="thin">
        <color rgb="FF808080"/>
      </right>
      <top style="thin">
        <color rgb="FFDDDDDD"/>
      </top>
      <bottom/>
      <diagonal/>
    </border>
    <border>
      <left style="thin">
        <color rgb="FFDDDDDD"/>
      </left>
      <right/>
      <top style="hair">
        <color auto="1"/>
      </top>
      <bottom/>
      <diagonal/>
    </border>
    <border>
      <left style="hair">
        <color rgb="FF000000"/>
      </left>
      <right/>
      <top style="hair">
        <color indexed="64"/>
      </top>
      <bottom/>
      <diagonal/>
    </border>
    <border>
      <left/>
      <right style="thin">
        <color rgb="FF000000"/>
      </right>
      <top style="hair">
        <color indexed="64"/>
      </top>
      <bottom/>
      <diagonal/>
    </border>
    <border>
      <left style="thin">
        <color rgb="FF000000"/>
      </left>
      <right/>
      <top style="hair">
        <color indexed="64"/>
      </top>
      <bottom/>
      <diagonal/>
    </border>
    <border>
      <left style="thin">
        <color rgb="FF000000"/>
      </left>
      <right style="thin">
        <color rgb="FF808080"/>
      </right>
      <top style="hair">
        <color indexed="64"/>
      </top>
      <bottom/>
      <diagonal/>
    </border>
    <border>
      <left style="thin">
        <color rgb="FF000000"/>
      </left>
      <right style="thin">
        <color rgb="FF808080"/>
      </right>
      <top style="double">
        <color rgb="FF777777"/>
      </top>
      <bottom style="thin">
        <color rgb="FF777777"/>
      </bottom>
      <diagonal/>
    </border>
    <border>
      <left/>
      <right style="thin">
        <color rgb="FF000000"/>
      </right>
      <top style="double">
        <color rgb="FF777777"/>
      </top>
      <bottom style="thin">
        <color rgb="FF777777"/>
      </bottom>
      <diagonal/>
    </border>
    <border>
      <left style="thin">
        <color rgb="FFDDDDDD"/>
      </left>
      <right/>
      <top style="double">
        <color rgb="FF000000"/>
      </top>
      <bottom style="thin">
        <color rgb="FF777777"/>
      </bottom>
      <diagonal/>
    </border>
    <border>
      <left style="hair">
        <color rgb="FF000000"/>
      </left>
      <right/>
      <top style="double">
        <color rgb="FF000000"/>
      </top>
      <bottom style="thin">
        <color rgb="FF777777"/>
      </bottom>
      <diagonal/>
    </border>
    <border>
      <left style="thin">
        <color rgb="FF000000"/>
      </left>
      <right/>
      <top style="double">
        <color rgb="FF000000"/>
      </top>
      <bottom style="thin">
        <color rgb="FF777777"/>
      </bottom>
      <diagonal/>
    </border>
    <border>
      <left style="thin">
        <color rgb="FF000000"/>
      </left>
      <right style="thin">
        <color rgb="FF808080"/>
      </right>
      <top style="double">
        <color rgb="FF000000"/>
      </top>
      <bottom style="thin">
        <color rgb="FF777777"/>
      </bottom>
      <diagonal/>
    </border>
    <border>
      <left style="thin">
        <color rgb="FFDDDDDD"/>
      </left>
      <right/>
      <top style="double">
        <color rgb="FF777777"/>
      </top>
      <bottom/>
      <diagonal/>
    </border>
    <border>
      <left/>
      <right/>
      <top style="double">
        <color rgb="FF777777"/>
      </top>
      <bottom/>
      <diagonal/>
    </border>
    <border>
      <left/>
      <right style="thin">
        <color rgb="FF000000"/>
      </right>
      <top style="double">
        <color rgb="FF777777"/>
      </top>
      <bottom/>
      <diagonal/>
    </border>
    <border>
      <left style="thin">
        <color rgb="FF000000"/>
      </left>
      <right/>
      <top style="double">
        <color rgb="FF777777"/>
      </top>
      <bottom/>
      <diagonal/>
    </border>
    <border>
      <left style="hair">
        <color rgb="FF000000"/>
      </left>
      <right/>
      <top style="double">
        <color rgb="FF777777"/>
      </top>
      <bottom/>
      <diagonal/>
    </border>
    <border>
      <left style="thin">
        <color rgb="FF000000"/>
      </left>
      <right style="thin">
        <color rgb="FF808080"/>
      </right>
      <top style="double">
        <color rgb="FF777777"/>
      </top>
      <bottom/>
      <diagonal/>
    </border>
    <border>
      <left style="thin">
        <color rgb="FF000000"/>
      </left>
      <right/>
      <top style="thin">
        <color rgb="FFDDDDDD"/>
      </top>
      <bottom style="thin">
        <color rgb="FF777777"/>
      </bottom>
      <diagonal/>
    </border>
    <border>
      <left style="hair">
        <color rgb="FF000000"/>
      </left>
      <right/>
      <top style="thin">
        <color rgb="FFDDDDDD"/>
      </top>
      <bottom style="thin">
        <color rgb="FF777777"/>
      </bottom>
      <diagonal/>
    </border>
    <border>
      <left style="thin">
        <color rgb="FF000000"/>
      </left>
      <right style="thin">
        <color rgb="FF808080"/>
      </right>
      <top style="thin">
        <color rgb="FFDDDDDD"/>
      </top>
      <bottom style="thin">
        <color rgb="FF777777"/>
      </bottom>
      <diagonal/>
    </border>
    <border>
      <left/>
      <right style="thin">
        <color rgb="FF000000"/>
      </right>
      <top style="thin">
        <color rgb="FFDDDDDD"/>
      </top>
      <bottom style="thin">
        <color rgb="FF777777"/>
      </bottom>
      <diagonal/>
    </border>
    <border>
      <left/>
      <right style="thin">
        <color indexed="64"/>
      </right>
      <top style="thin">
        <color rgb="FFDDDDDD"/>
      </top>
      <bottom/>
      <diagonal/>
    </border>
    <border>
      <left/>
      <right style="hair">
        <color indexed="64"/>
      </right>
      <top style="thin">
        <color rgb="FFDDDDDD"/>
      </top>
      <bottom/>
      <diagonal/>
    </border>
    <border>
      <left style="thin">
        <color indexed="64"/>
      </left>
      <right style="hair">
        <color indexed="64"/>
      </right>
      <top style="thin">
        <color rgb="FFDDDDDD"/>
      </top>
      <bottom/>
      <diagonal/>
    </border>
    <border>
      <left style="thin">
        <color rgb="FF000000"/>
      </left>
      <right/>
      <top style="thin">
        <color rgb="FF777777"/>
      </top>
      <bottom/>
      <diagonal/>
    </border>
    <border>
      <left/>
      <right style="thin">
        <color rgb="FF000000"/>
      </right>
      <top style="thin">
        <color rgb="FF777777"/>
      </top>
      <bottom/>
      <diagonal/>
    </border>
    <border>
      <left style="hair">
        <color rgb="FF000000"/>
      </left>
      <right/>
      <top style="thin">
        <color rgb="FF777777"/>
      </top>
      <bottom/>
      <diagonal/>
    </border>
    <border>
      <left style="thin">
        <color rgb="FF000000"/>
      </left>
      <right style="thin">
        <color rgb="FF808080"/>
      </right>
      <top style="thin">
        <color rgb="FF777777"/>
      </top>
      <bottom/>
      <diagonal/>
    </border>
    <border>
      <left style="thin">
        <color rgb="FFDDDDDD"/>
      </left>
      <right style="hair">
        <color rgb="FF000000"/>
      </right>
      <top style="hair">
        <color indexed="64"/>
      </top>
      <bottom/>
      <diagonal/>
    </border>
    <border>
      <left style="hair">
        <color indexed="64"/>
      </left>
      <right/>
      <top style="hair">
        <color indexed="64"/>
      </top>
      <bottom/>
      <diagonal/>
    </border>
  </borders>
  <cellStyleXfs count="19">
    <xf numFmtId="0" fontId="0" fillId="0" borderId="0">
      <alignment vertical="center"/>
    </xf>
    <xf numFmtId="0" fontId="2" fillId="0" borderId="0"/>
    <xf numFmtId="0" fontId="7" fillId="0" borderId="0"/>
    <xf numFmtId="0" fontId="10" fillId="0" borderId="0"/>
    <xf numFmtId="0" fontId="5" fillId="0" borderId="0">
      <alignment vertical="center"/>
    </xf>
    <xf numFmtId="0" fontId="15" fillId="0" borderId="0"/>
    <xf numFmtId="0" fontId="24" fillId="0" borderId="0"/>
    <xf numFmtId="0" fontId="15" fillId="0" borderId="0"/>
    <xf numFmtId="0" fontId="2" fillId="0" borderId="0"/>
    <xf numFmtId="0" fontId="30" fillId="0" borderId="0"/>
    <xf numFmtId="0" fontId="24" fillId="0" borderId="0"/>
    <xf numFmtId="0" fontId="7" fillId="0" borderId="0"/>
    <xf numFmtId="38" fontId="10" fillId="0" borderId="0" applyFont="0" applyFill="0" applyBorder="0" applyAlignment="0" applyProtection="0"/>
    <xf numFmtId="0" fontId="9" fillId="0" borderId="0">
      <alignment vertical="center"/>
    </xf>
    <xf numFmtId="0" fontId="39" fillId="0" borderId="0"/>
    <xf numFmtId="0" fontId="10" fillId="0" borderId="0">
      <alignment vertical="center"/>
    </xf>
    <xf numFmtId="0" fontId="44" fillId="0" borderId="0"/>
    <xf numFmtId="0" fontId="39" fillId="0" borderId="0"/>
    <xf numFmtId="0" fontId="15" fillId="0" borderId="0"/>
  </cellStyleXfs>
  <cellXfs count="1755">
    <xf numFmtId="0" fontId="0" fillId="0" borderId="0" xfId="0">
      <alignment vertical="center"/>
    </xf>
    <xf numFmtId="0" fontId="2" fillId="0" borderId="0" xfId="1" applyFont="1" applyBorder="1" applyAlignment="1" applyProtection="1">
      <alignment vertical="center"/>
      <protection locked="0"/>
    </xf>
    <xf numFmtId="0" fontId="2" fillId="0" borderId="0" xfId="1" applyFont="1" applyBorder="1" applyProtection="1">
      <protection locked="0"/>
    </xf>
    <xf numFmtId="0" fontId="4" fillId="0" borderId="0" xfId="1" applyFont="1" applyAlignment="1" applyProtection="1">
      <alignment horizontal="right"/>
      <protection locked="0"/>
    </xf>
    <xf numFmtId="176" fontId="4" fillId="0" borderId="0" xfId="1" applyNumberFormat="1" applyFont="1" applyProtection="1"/>
    <xf numFmtId="0" fontId="2" fillId="0" borderId="0" xfId="1" applyFont="1" applyProtection="1">
      <protection locked="0"/>
    </xf>
    <xf numFmtId="0" fontId="5" fillId="0" borderId="0" xfId="1" applyFont="1" applyAlignment="1" applyProtection="1">
      <alignment vertical="center"/>
      <protection locked="0"/>
    </xf>
    <xf numFmtId="0" fontId="2" fillId="0" borderId="0" xfId="1" applyNumberFormat="1" applyFont="1" applyProtection="1">
      <protection locked="0"/>
    </xf>
    <xf numFmtId="0" fontId="6" fillId="2" borderId="1" xfId="1" applyFont="1" applyFill="1" applyBorder="1" applyAlignment="1" applyProtection="1">
      <alignment horizontal="center" vertical="center" shrinkToFit="1"/>
      <protection locked="0"/>
    </xf>
    <xf numFmtId="0" fontId="4" fillId="0" borderId="0" xfId="1" applyFont="1" applyAlignment="1" applyProtection="1">
      <alignment vertical="center"/>
      <protection locked="0"/>
    </xf>
    <xf numFmtId="0" fontId="8" fillId="2" borderId="2" xfId="2" applyFont="1" applyFill="1" applyBorder="1" applyAlignment="1" applyProtection="1">
      <alignment horizontal="left" vertical="center" indent="1"/>
      <protection locked="0"/>
    </xf>
    <xf numFmtId="0" fontId="11" fillId="2" borderId="3" xfId="3" applyFont="1" applyFill="1" applyBorder="1" applyAlignment="1">
      <alignment horizontal="center" vertical="center"/>
    </xf>
    <xf numFmtId="0" fontId="11" fillId="2" borderId="3" xfId="3" applyFont="1" applyFill="1" applyBorder="1"/>
    <xf numFmtId="0" fontId="11" fillId="2" borderId="4" xfId="3" applyFont="1" applyFill="1" applyBorder="1" applyAlignment="1">
      <alignment horizontal="center" vertical="center"/>
    </xf>
    <xf numFmtId="0" fontId="11" fillId="0" borderId="0" xfId="3" applyFont="1"/>
    <xf numFmtId="0" fontId="5" fillId="0" borderId="0" xfId="3" applyFont="1"/>
    <xf numFmtId="0" fontId="2" fillId="0" borderId="0" xfId="3" applyFont="1" applyBorder="1" applyAlignment="1">
      <alignment horizontal="center" vertical="center"/>
    </xf>
    <xf numFmtId="0" fontId="5" fillId="0" borderId="0" xfId="3" applyFont="1" applyBorder="1"/>
    <xf numFmtId="0" fontId="5" fillId="0" borderId="0" xfId="3" applyFont="1" applyBorder="1" applyAlignment="1"/>
    <xf numFmtId="0" fontId="5" fillId="0" borderId="0" xfId="3" applyFont="1" applyBorder="1" applyAlignment="1">
      <alignment horizontal="center"/>
    </xf>
    <xf numFmtId="0" fontId="5" fillId="3" borderId="5"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7" xfId="3" applyFont="1" applyFill="1" applyBorder="1" applyAlignment="1">
      <alignment horizontal="center" vertical="center"/>
    </xf>
    <xf numFmtId="0" fontId="5" fillId="3" borderId="8"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10" xfId="3" applyFont="1" applyFill="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177" fontId="5" fillId="0" borderId="12" xfId="3" applyNumberFormat="1" applyFont="1" applyBorder="1" applyAlignment="1">
      <alignment horizontal="right" vertical="center"/>
    </xf>
    <xf numFmtId="177" fontId="5" fillId="0" borderId="12" xfId="3" applyNumberFormat="1" applyFont="1" applyBorder="1" applyAlignment="1">
      <alignment horizontal="right" vertical="center"/>
    </xf>
    <xf numFmtId="177" fontId="5" fillId="0" borderId="13" xfId="3" applyNumberFormat="1" applyFont="1" applyBorder="1" applyAlignment="1">
      <alignment horizontal="right" vertical="center"/>
    </xf>
    <xf numFmtId="0" fontId="5" fillId="0" borderId="14" xfId="3" applyFont="1" applyBorder="1" applyAlignment="1">
      <alignment horizontal="center" vertical="center"/>
    </xf>
    <xf numFmtId="0" fontId="5" fillId="0" borderId="15" xfId="3" applyFont="1" applyBorder="1" applyAlignment="1">
      <alignment horizontal="center" vertical="center"/>
    </xf>
    <xf numFmtId="177" fontId="5" fillId="0" borderId="15" xfId="3" applyNumberFormat="1" applyFont="1" applyBorder="1" applyAlignment="1">
      <alignment horizontal="right" vertical="center"/>
    </xf>
    <xf numFmtId="177" fontId="5" fillId="0" borderId="16" xfId="3" applyNumberFormat="1" applyFont="1" applyBorder="1" applyAlignment="1">
      <alignment horizontal="right" vertical="center"/>
    </xf>
    <xf numFmtId="0" fontId="13" fillId="4" borderId="17" xfId="4" applyFont="1" applyFill="1" applyBorder="1" applyAlignment="1">
      <alignment horizontal="center" vertical="center"/>
    </xf>
    <xf numFmtId="0" fontId="13" fillId="5" borderId="17" xfId="4" applyFont="1" applyFill="1" applyBorder="1" applyAlignment="1">
      <alignment horizontal="center" vertical="center"/>
    </xf>
    <xf numFmtId="0" fontId="13" fillId="6" borderId="17" xfId="4" applyFont="1" applyFill="1" applyBorder="1" applyAlignment="1">
      <alignment horizontal="center" vertical="center"/>
    </xf>
    <xf numFmtId="0" fontId="14" fillId="3" borderId="5" xfId="3" applyFont="1" applyFill="1" applyBorder="1" applyAlignment="1">
      <alignment horizontal="justify" vertical="justify" wrapText="1"/>
    </xf>
    <xf numFmtId="0" fontId="14" fillId="3" borderId="6" xfId="3" applyFont="1" applyFill="1" applyBorder="1" applyAlignment="1">
      <alignment horizontal="justify" vertical="justify" wrapText="1"/>
    </xf>
    <xf numFmtId="178" fontId="5" fillId="3" borderId="6" xfId="3" applyNumberFormat="1" applyFont="1" applyFill="1" applyBorder="1" applyAlignment="1">
      <alignment horizontal="center" vertical="center"/>
    </xf>
    <xf numFmtId="178" fontId="5" fillId="3" borderId="7" xfId="3" applyNumberFormat="1" applyFont="1" applyFill="1" applyBorder="1" applyAlignment="1">
      <alignment horizontal="center" vertical="center"/>
    </xf>
    <xf numFmtId="0" fontId="5" fillId="0" borderId="11" xfId="3" applyFont="1" applyFill="1" applyBorder="1" applyAlignment="1">
      <alignment horizontal="center" vertical="center"/>
    </xf>
    <xf numFmtId="0" fontId="5" fillId="0" borderId="12" xfId="3" applyFont="1" applyFill="1" applyBorder="1" applyAlignment="1">
      <alignment horizontal="center" vertical="center"/>
    </xf>
    <xf numFmtId="179" fontId="5" fillId="0" borderId="18" xfId="3" applyNumberFormat="1" applyFont="1" applyFill="1" applyBorder="1" applyAlignment="1">
      <alignment horizontal="right" shrinkToFit="1"/>
    </xf>
    <xf numFmtId="179" fontId="5" fillId="0" borderId="19" xfId="3" applyNumberFormat="1" applyFont="1" applyFill="1" applyBorder="1" applyAlignment="1">
      <alignment horizontal="right" shrinkToFit="1"/>
    </xf>
    <xf numFmtId="179" fontId="5" fillId="0" borderId="12" xfId="3" applyNumberFormat="1" applyFont="1" applyFill="1" applyBorder="1" applyAlignment="1">
      <alignment horizontal="right" shrinkToFit="1"/>
    </xf>
    <xf numFmtId="179" fontId="5" fillId="0" borderId="13" xfId="3" applyNumberFormat="1" applyFont="1" applyFill="1" applyBorder="1" applyAlignment="1">
      <alignment horizontal="right" shrinkToFit="1"/>
    </xf>
    <xf numFmtId="0" fontId="16" fillId="2" borderId="3" xfId="5" applyFont="1" applyFill="1" applyBorder="1"/>
    <xf numFmtId="49" fontId="16" fillId="2" borderId="3" xfId="5" applyNumberFormat="1" applyFont="1" applyFill="1" applyBorder="1" applyAlignment="1">
      <alignment horizontal="center"/>
    </xf>
    <xf numFmtId="0" fontId="16" fillId="2" borderId="4" xfId="5" applyFont="1" applyFill="1" applyBorder="1"/>
    <xf numFmtId="0" fontId="16" fillId="0" borderId="0" xfId="5" applyFont="1" applyBorder="1"/>
    <xf numFmtId="0" fontId="13" fillId="0" borderId="0" xfId="5" applyFont="1"/>
    <xf numFmtId="0" fontId="5" fillId="0" borderId="20" xfId="4" applyBorder="1">
      <alignment vertical="center"/>
    </xf>
    <xf numFmtId="0" fontId="5" fillId="0" borderId="0" xfId="4">
      <alignment vertical="center"/>
    </xf>
    <xf numFmtId="0" fontId="17" fillId="0" borderId="0" xfId="5" applyFont="1" applyFill="1" applyBorder="1" applyAlignment="1">
      <alignment horizontal="left" vertical="center" wrapText="1"/>
    </xf>
    <xf numFmtId="0" fontId="13" fillId="7" borderId="21" xfId="5" applyFont="1" applyFill="1" applyBorder="1" applyAlignment="1">
      <alignment horizontal="center" vertical="center"/>
    </xf>
    <xf numFmtId="0" fontId="13" fillId="7" borderId="22" xfId="5" applyFont="1" applyFill="1" applyBorder="1" applyAlignment="1">
      <alignment horizontal="center" vertical="center"/>
    </xf>
    <xf numFmtId="0" fontId="13" fillId="7" borderId="23" xfId="5" applyFont="1" applyFill="1" applyBorder="1" applyAlignment="1">
      <alignment horizontal="center" vertical="center"/>
    </xf>
    <xf numFmtId="0" fontId="13" fillId="0" borderId="0" xfId="5" applyFont="1" applyBorder="1"/>
    <xf numFmtId="49" fontId="13" fillId="0" borderId="0" xfId="5" applyNumberFormat="1" applyFont="1" applyBorder="1" applyAlignment="1">
      <alignment horizontal="center"/>
    </xf>
    <xf numFmtId="0" fontId="13" fillId="0" borderId="0" xfId="5" applyFont="1" applyAlignment="1">
      <alignment horizontal="right"/>
    </xf>
    <xf numFmtId="0" fontId="13" fillId="3" borderId="24" xfId="5" applyFont="1" applyFill="1" applyBorder="1" applyAlignment="1">
      <alignment vertical="center"/>
    </xf>
    <xf numFmtId="178" fontId="13" fillId="3" borderId="25" xfId="5" applyNumberFormat="1" applyFont="1" applyFill="1" applyBorder="1" applyAlignment="1">
      <alignment horizontal="center" vertical="center"/>
    </xf>
    <xf numFmtId="178" fontId="13" fillId="3" borderId="26" xfId="5" applyNumberFormat="1" applyFont="1" applyFill="1" applyBorder="1" applyAlignment="1">
      <alignment horizontal="center" vertical="center"/>
    </xf>
    <xf numFmtId="178" fontId="13" fillId="3" borderId="27" xfId="5" applyNumberFormat="1" applyFont="1" applyFill="1" applyBorder="1" applyAlignment="1">
      <alignment horizontal="center" vertical="center"/>
    </xf>
    <xf numFmtId="0" fontId="13" fillId="0" borderId="28" xfId="5" applyFont="1" applyFill="1" applyBorder="1"/>
    <xf numFmtId="180" fontId="13" fillId="0" borderId="29" xfId="5" applyNumberFormat="1" applyFont="1" applyFill="1" applyBorder="1" applyAlignment="1"/>
    <xf numFmtId="180" fontId="13" fillId="0" borderId="30" xfId="5" applyNumberFormat="1" applyFont="1" applyFill="1" applyBorder="1" applyAlignment="1"/>
    <xf numFmtId="180" fontId="13" fillId="0" borderId="31" xfId="5" applyNumberFormat="1" applyFont="1" applyFill="1" applyBorder="1" applyAlignment="1"/>
    <xf numFmtId="49" fontId="13" fillId="0" borderId="0" xfId="5" applyNumberFormat="1" applyFont="1" applyAlignment="1">
      <alignment horizontal="center"/>
    </xf>
    <xf numFmtId="0" fontId="13" fillId="0" borderId="0" xfId="4" applyFont="1">
      <alignment vertical="center"/>
    </xf>
    <xf numFmtId="0" fontId="13" fillId="8" borderId="17" xfId="4" applyFont="1" applyFill="1" applyBorder="1" applyAlignment="1">
      <alignment horizontal="center" vertical="center"/>
    </xf>
    <xf numFmtId="0" fontId="13" fillId="3" borderId="32" xfId="5" applyFont="1" applyFill="1" applyBorder="1" applyAlignment="1">
      <alignment horizontal="center" vertical="center"/>
    </xf>
    <xf numFmtId="178" fontId="13" fillId="3" borderId="33" xfId="5" applyNumberFormat="1" applyFont="1" applyFill="1" applyBorder="1" applyAlignment="1">
      <alignment horizontal="center" vertical="center"/>
    </xf>
    <xf numFmtId="178" fontId="13" fillId="3" borderId="34" xfId="5" applyNumberFormat="1" applyFont="1" applyFill="1" applyBorder="1" applyAlignment="1">
      <alignment horizontal="center" vertical="center"/>
    </xf>
    <xf numFmtId="178" fontId="13" fillId="3" borderId="35" xfId="5" applyNumberFormat="1" applyFont="1" applyFill="1" applyBorder="1" applyAlignment="1">
      <alignment horizontal="center" vertical="center"/>
    </xf>
    <xf numFmtId="0" fontId="13" fillId="3" borderId="36" xfId="5"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38" xfId="5" applyNumberFormat="1" applyFont="1" applyFill="1" applyBorder="1" applyAlignment="1">
      <alignment horizontal="center" vertical="center"/>
    </xf>
    <xf numFmtId="178" fontId="13" fillId="3" borderId="0" xfId="5" applyNumberFormat="1" applyFont="1" applyFill="1" applyBorder="1" applyAlignment="1">
      <alignment horizontal="center" vertical="center"/>
    </xf>
    <xf numFmtId="0" fontId="13" fillId="0" borderId="0" xfId="5" applyFont="1" applyAlignment="1">
      <alignment horizontal="left" indent="1"/>
    </xf>
    <xf numFmtId="0" fontId="13" fillId="3" borderId="39" xfId="5" applyFont="1" applyFill="1" applyBorder="1" applyAlignment="1">
      <alignment horizontal="center" vertical="center"/>
    </xf>
    <xf numFmtId="178" fontId="13" fillId="3" borderId="0"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41" xfId="5" applyNumberFormat="1" applyFont="1" applyFill="1" applyBorder="1" applyAlignment="1">
      <alignment horizontal="center" vertical="center" shrinkToFit="1"/>
    </xf>
    <xf numFmtId="178" fontId="13" fillId="3" borderId="42" xfId="5" applyNumberFormat="1" applyFont="1" applyFill="1" applyBorder="1" applyAlignment="1">
      <alignment horizontal="center" vertical="center" shrinkToFit="1"/>
    </xf>
    <xf numFmtId="178" fontId="13" fillId="3" borderId="43" xfId="5" applyNumberFormat="1" applyFont="1" applyFill="1" applyBorder="1" applyAlignment="1">
      <alignment horizontal="center" vertical="center" shrinkToFit="1"/>
    </xf>
    <xf numFmtId="178" fontId="13" fillId="3" borderId="44" xfId="5" applyNumberFormat="1" applyFont="1" applyFill="1" applyBorder="1" applyAlignment="1">
      <alignment horizontal="center" vertical="center" shrinkToFit="1"/>
    </xf>
    <xf numFmtId="178" fontId="13" fillId="3" borderId="45"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shrinkToFit="1"/>
    </xf>
    <xf numFmtId="178" fontId="13" fillId="3" borderId="46" xfId="5" applyNumberFormat="1" applyFont="1" applyFill="1" applyBorder="1" applyAlignment="1">
      <alignment horizontal="center" vertical="center" shrinkToFit="1"/>
    </xf>
    <xf numFmtId="49" fontId="13" fillId="0" borderId="0" xfId="5" applyNumberFormat="1" applyFont="1" applyAlignment="1">
      <alignment horizontal="left" indent="1"/>
    </xf>
    <xf numFmtId="178" fontId="13" fillId="0" borderId="47" xfId="5" applyNumberFormat="1" applyFont="1" applyFill="1" applyBorder="1" applyAlignment="1">
      <alignment horizontal="center" vertical="center"/>
    </xf>
    <xf numFmtId="181" fontId="13" fillId="0" borderId="15" xfId="5" applyNumberFormat="1" applyFont="1" applyFill="1" applyBorder="1" applyAlignment="1"/>
    <xf numFmtId="178" fontId="13" fillId="0" borderId="48" xfId="5" applyNumberFormat="1" applyFont="1" applyFill="1" applyBorder="1" applyAlignment="1">
      <alignment horizontal="center" vertical="center"/>
    </xf>
    <xf numFmtId="181" fontId="13" fillId="0" borderId="49" xfId="5" applyNumberFormat="1" applyFont="1" applyFill="1" applyBorder="1" applyAlignment="1"/>
    <xf numFmtId="178" fontId="13" fillId="0" borderId="50" xfId="5" applyNumberFormat="1" applyFont="1" applyFill="1" applyBorder="1" applyAlignment="1">
      <alignment horizontal="center" vertical="center"/>
    </xf>
    <xf numFmtId="181" fontId="13" fillId="0" borderId="13" xfId="5" applyNumberFormat="1" applyFont="1" applyFill="1" applyBorder="1" applyAlignment="1"/>
    <xf numFmtId="178" fontId="13" fillId="0" borderId="51" xfId="5" applyNumberFormat="1" applyFont="1" applyFill="1" applyBorder="1" applyAlignment="1">
      <alignment horizontal="center" vertical="center"/>
    </xf>
    <xf numFmtId="181" fontId="13" fillId="0" borderId="12" xfId="5" applyNumberFormat="1" applyFont="1" applyFill="1" applyBorder="1"/>
    <xf numFmtId="181" fontId="13" fillId="0" borderId="52" xfId="5" applyNumberFormat="1" applyFont="1" applyFill="1" applyBorder="1"/>
    <xf numFmtId="181" fontId="13" fillId="0" borderId="52" xfId="5" applyNumberFormat="1" applyFont="1" applyFill="1" applyBorder="1" applyAlignment="1">
      <alignment horizontal="center"/>
    </xf>
    <xf numFmtId="178" fontId="13" fillId="0" borderId="53" xfId="5" applyNumberFormat="1" applyFont="1" applyFill="1" applyBorder="1" applyAlignment="1">
      <alignment horizontal="center" vertical="center"/>
    </xf>
    <xf numFmtId="178" fontId="13" fillId="0" borderId="15" xfId="5" applyNumberFormat="1" applyFont="1" applyFill="1" applyBorder="1" applyAlignment="1">
      <alignment horizontal="center" vertical="center"/>
    </xf>
    <xf numFmtId="49" fontId="13" fillId="0" borderId="0" xfId="5" applyNumberFormat="1" applyFont="1"/>
    <xf numFmtId="0" fontId="13" fillId="9" borderId="17" xfId="4" applyFont="1" applyFill="1" applyBorder="1" applyAlignment="1">
      <alignment horizontal="center" vertical="center"/>
    </xf>
    <xf numFmtId="49" fontId="13" fillId="3" borderId="2"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xf>
    <xf numFmtId="182" fontId="19" fillId="3" borderId="3"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shrinkToFit="1"/>
    </xf>
    <xf numFmtId="182" fontId="19" fillId="3" borderId="3"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xf>
    <xf numFmtId="49" fontId="13" fillId="3" borderId="2" xfId="5" applyNumberFormat="1" applyFont="1" applyFill="1" applyBorder="1" applyAlignment="1">
      <alignment horizontal="center" vertical="center"/>
    </xf>
    <xf numFmtId="49" fontId="13" fillId="3" borderId="3" xfId="5" applyNumberFormat="1" applyFont="1" applyFill="1" applyBorder="1" applyAlignment="1">
      <alignment horizontal="center" vertical="center"/>
    </xf>
    <xf numFmtId="182" fontId="19" fillId="3" borderId="33" xfId="5" applyNumberFormat="1" applyFont="1" applyFill="1" applyBorder="1" applyAlignment="1">
      <alignment horizontal="center" vertical="center"/>
    </xf>
    <xf numFmtId="182" fontId="19" fillId="3" borderId="55" xfId="5" applyNumberFormat="1" applyFont="1" applyFill="1" applyBorder="1" applyAlignment="1">
      <alignment horizontal="center" vertical="center"/>
    </xf>
    <xf numFmtId="182" fontId="19" fillId="3" borderId="35" xfId="5" applyNumberFormat="1" applyFont="1" applyFill="1" applyBorder="1" applyAlignment="1">
      <alignment horizontal="center" vertical="center"/>
    </xf>
    <xf numFmtId="0" fontId="13" fillId="8" borderId="39" xfId="5" applyFont="1" applyFill="1" applyBorder="1" applyAlignment="1">
      <alignment horizontal="center"/>
    </xf>
    <xf numFmtId="181" fontId="13" fillId="0" borderId="56" xfId="5" applyNumberFormat="1" applyFont="1" applyBorder="1"/>
    <xf numFmtId="181" fontId="13" fillId="0" borderId="41" xfId="5" applyNumberFormat="1" applyFont="1" applyBorder="1"/>
    <xf numFmtId="181" fontId="13" fillId="0" borderId="57" xfId="5" applyNumberFormat="1" applyFont="1" applyBorder="1"/>
    <xf numFmtId="0" fontId="13" fillId="8" borderId="58" xfId="5" applyFont="1" applyFill="1" applyBorder="1" applyAlignment="1">
      <alignment horizontal="center"/>
    </xf>
    <xf numFmtId="0" fontId="13" fillId="8" borderId="31" xfId="5" applyFont="1" applyFill="1" applyBorder="1" applyAlignment="1">
      <alignment horizontal="center"/>
    </xf>
    <xf numFmtId="181" fontId="13" fillId="0" borderId="59" xfId="5" applyNumberFormat="1" applyFont="1" applyBorder="1"/>
    <xf numFmtId="181" fontId="13" fillId="0" borderId="60" xfId="5" applyNumberFormat="1" applyFont="1" applyBorder="1"/>
    <xf numFmtId="181" fontId="13" fillId="0" borderId="31" xfId="5" applyNumberFormat="1" applyFont="1" applyBorder="1"/>
    <xf numFmtId="0" fontId="13" fillId="9" borderId="39" xfId="5" applyFont="1" applyFill="1" applyBorder="1" applyAlignment="1">
      <alignment horizontal="center"/>
    </xf>
    <xf numFmtId="181" fontId="13" fillId="0" borderId="61" xfId="5" applyNumberFormat="1" applyFont="1" applyBorder="1"/>
    <xf numFmtId="181" fontId="13" fillId="0" borderId="59" xfId="5" applyNumberFormat="1" applyFont="1" applyBorder="1"/>
    <xf numFmtId="181" fontId="13" fillId="0" borderId="31" xfId="5" applyNumberFormat="1" applyFont="1" applyBorder="1"/>
    <xf numFmtId="0" fontId="13" fillId="9" borderId="58" xfId="5" applyFont="1" applyFill="1" applyBorder="1" applyAlignment="1">
      <alignment horizontal="center"/>
    </xf>
    <xf numFmtId="0" fontId="13" fillId="9" borderId="31" xfId="5" applyFont="1" applyFill="1" applyBorder="1" applyAlignment="1">
      <alignment horizontal="center"/>
    </xf>
    <xf numFmtId="180" fontId="20" fillId="0" borderId="30" xfId="5" applyNumberFormat="1" applyFont="1" applyFill="1" applyBorder="1" applyAlignment="1"/>
    <xf numFmtId="180" fontId="21" fillId="0" borderId="30" xfId="5" applyNumberFormat="1" applyFont="1" applyFill="1" applyBorder="1" applyAlignment="1"/>
    <xf numFmtId="180" fontId="22" fillId="0" borderId="30" xfId="5" applyNumberFormat="1" applyFont="1" applyFill="1" applyBorder="1" applyAlignment="1"/>
    <xf numFmtId="0" fontId="23" fillId="2" borderId="2" xfId="4" applyFont="1" applyFill="1" applyBorder="1" applyAlignment="1">
      <alignment horizontal="left" vertical="center" indent="1"/>
    </xf>
    <xf numFmtId="0" fontId="16" fillId="2" borderId="3" xfId="4" applyFont="1" applyFill="1" applyBorder="1">
      <alignment vertical="center"/>
    </xf>
    <xf numFmtId="0" fontId="16" fillId="2" borderId="3" xfId="5" applyFont="1" applyFill="1" applyBorder="1" applyAlignment="1">
      <alignment horizontal="right"/>
    </xf>
    <xf numFmtId="0" fontId="16" fillId="2" borderId="4" xfId="5" applyFont="1" applyFill="1" applyBorder="1" applyAlignment="1">
      <alignment horizontal="right"/>
    </xf>
    <xf numFmtId="0" fontId="16" fillId="0" borderId="0" xfId="4" applyFont="1">
      <alignment vertical="center"/>
    </xf>
    <xf numFmtId="0" fontId="13" fillId="0" borderId="0" xfId="4" applyFont="1" applyBorder="1">
      <alignment vertical="center"/>
    </xf>
    <xf numFmtId="0" fontId="13" fillId="0" borderId="0" xfId="5" applyFont="1" applyBorder="1" applyAlignment="1">
      <alignment horizontal="right"/>
    </xf>
    <xf numFmtId="0" fontId="13" fillId="3" borderId="24" xfId="5" applyFont="1" applyFill="1" applyBorder="1" applyAlignment="1">
      <alignment horizontal="center"/>
    </xf>
    <xf numFmtId="183" fontId="13" fillId="3" borderId="25" xfId="5" applyNumberFormat="1" applyFont="1" applyFill="1" applyBorder="1" applyAlignment="1">
      <alignment horizontal="center"/>
    </xf>
    <xf numFmtId="183" fontId="13" fillId="3" borderId="26" xfId="5" applyNumberFormat="1" applyFont="1" applyFill="1" applyBorder="1" applyAlignment="1">
      <alignment horizontal="center"/>
    </xf>
    <xf numFmtId="183" fontId="13" fillId="3" borderId="62" xfId="5" applyNumberFormat="1" applyFont="1" applyFill="1" applyBorder="1" applyAlignment="1">
      <alignment horizontal="center"/>
    </xf>
    <xf numFmtId="183" fontId="13" fillId="3" borderId="26" xfId="4" applyNumberFormat="1" applyFont="1" applyFill="1" applyBorder="1" applyAlignment="1">
      <alignment horizontal="center"/>
    </xf>
    <xf numFmtId="183" fontId="13" fillId="3" borderId="27" xfId="4" applyNumberFormat="1" applyFont="1" applyFill="1" applyBorder="1" applyAlignment="1">
      <alignment horizontal="center"/>
    </xf>
    <xf numFmtId="184" fontId="13" fillId="0" borderId="63" xfId="5" applyNumberFormat="1" applyFont="1" applyFill="1" applyBorder="1" applyAlignment="1">
      <alignment horizontal="center" vertical="center" shrinkToFit="1"/>
    </xf>
    <xf numFmtId="0" fontId="13" fillId="0" borderId="64" xfId="5" applyNumberFormat="1" applyFont="1" applyFill="1" applyBorder="1" applyAlignment="1">
      <alignment horizontal="right" vertical="center"/>
    </xf>
    <xf numFmtId="0" fontId="13" fillId="0" borderId="65" xfId="5" applyNumberFormat="1" applyFont="1" applyFill="1" applyBorder="1" applyAlignment="1">
      <alignment horizontal="right" vertical="center"/>
    </xf>
    <xf numFmtId="0" fontId="13" fillId="0" borderId="65" xfId="4" applyFont="1" applyBorder="1" applyAlignment="1">
      <alignment horizontal="right" vertical="center"/>
    </xf>
    <xf numFmtId="0" fontId="13" fillId="0" borderId="66" xfId="4" applyFont="1" applyBorder="1" applyAlignment="1">
      <alignment horizontal="right" vertical="center"/>
    </xf>
    <xf numFmtId="184" fontId="13" fillId="0" borderId="67" xfId="5" applyNumberFormat="1" applyFont="1" applyFill="1" applyBorder="1" applyAlignment="1">
      <alignment horizontal="center" vertical="center" shrinkToFit="1"/>
    </xf>
    <xf numFmtId="0" fontId="13" fillId="0" borderId="68" xfId="5" applyNumberFormat="1" applyFont="1" applyFill="1" applyBorder="1" applyAlignment="1">
      <alignment horizontal="right" vertical="center"/>
    </xf>
    <xf numFmtId="0" fontId="13" fillId="0" borderId="69" xfId="5" applyNumberFormat="1" applyFont="1" applyFill="1" applyBorder="1" applyAlignment="1">
      <alignment horizontal="right" vertical="center"/>
    </xf>
    <xf numFmtId="0" fontId="13" fillId="0" borderId="69" xfId="4" applyFont="1" applyBorder="1" applyAlignment="1">
      <alignment horizontal="right" vertical="center"/>
    </xf>
    <xf numFmtId="0" fontId="13" fillId="0" borderId="70" xfId="4" applyFont="1" applyBorder="1" applyAlignment="1">
      <alignment horizontal="right" vertical="center"/>
    </xf>
    <xf numFmtId="184" fontId="13" fillId="0" borderId="71" xfId="5" applyNumberFormat="1" applyFont="1" applyFill="1" applyBorder="1" applyAlignment="1">
      <alignment horizontal="center" vertical="center" shrinkToFit="1"/>
    </xf>
    <xf numFmtId="0" fontId="13" fillId="0" borderId="72" xfId="5" applyNumberFormat="1" applyFont="1" applyFill="1" applyBorder="1" applyAlignment="1">
      <alignment horizontal="right" vertical="center"/>
    </xf>
    <xf numFmtId="0" fontId="13" fillId="0" borderId="73" xfId="5" applyNumberFormat="1" applyFont="1" applyFill="1" applyBorder="1" applyAlignment="1">
      <alignment horizontal="right" vertical="center"/>
    </xf>
    <xf numFmtId="0" fontId="13" fillId="0" borderId="73" xfId="4" applyFont="1" applyBorder="1" applyAlignment="1">
      <alignment horizontal="right" vertical="center"/>
    </xf>
    <xf numFmtId="0" fontId="13" fillId="0" borderId="74" xfId="4" applyFont="1" applyBorder="1" applyAlignment="1">
      <alignment horizontal="right" vertical="center"/>
    </xf>
    <xf numFmtId="0" fontId="19" fillId="3" borderId="75" xfId="6" applyFont="1" applyFill="1" applyBorder="1" applyAlignment="1" applyProtection="1">
      <alignment horizontal="center"/>
    </xf>
    <xf numFmtId="0" fontId="13" fillId="3" borderId="27" xfId="4" applyFont="1" applyFill="1" applyBorder="1" applyAlignment="1">
      <alignment horizontal="center"/>
    </xf>
    <xf numFmtId="0" fontId="13" fillId="3" borderId="34" xfId="4" applyFont="1" applyFill="1" applyBorder="1" applyAlignment="1">
      <alignment horizontal="center"/>
    </xf>
    <xf numFmtId="0" fontId="13" fillId="3" borderId="25" xfId="4" applyFont="1" applyFill="1" applyBorder="1" applyAlignment="1">
      <alignment horizontal="center"/>
    </xf>
    <xf numFmtId="0" fontId="19" fillId="7" borderId="76" xfId="6" applyNumberFormat="1" applyFont="1" applyFill="1" applyBorder="1" applyAlignment="1" applyProtection="1">
      <alignment horizontal="center" vertical="center"/>
    </xf>
    <xf numFmtId="185" fontId="13" fillId="0" borderId="66" xfId="4" applyNumberFormat="1" applyFont="1" applyBorder="1" applyAlignment="1">
      <alignment horizontal="right" vertical="center" shrinkToFit="1"/>
    </xf>
    <xf numFmtId="0" fontId="13" fillId="7" borderId="77" xfId="4" applyNumberFormat="1" applyFont="1" applyFill="1" applyBorder="1" applyAlignment="1">
      <alignment horizontal="center" vertical="center" shrinkToFit="1"/>
    </xf>
    <xf numFmtId="185" fontId="13" fillId="0" borderId="66" xfId="4" applyNumberFormat="1" applyFont="1" applyFill="1" applyBorder="1" applyAlignment="1">
      <alignment horizontal="right" vertical="center" shrinkToFit="1"/>
    </xf>
    <xf numFmtId="0" fontId="13" fillId="7" borderId="64" xfId="4" applyNumberFormat="1" applyFont="1" applyFill="1" applyBorder="1" applyAlignment="1">
      <alignment horizontal="center" vertical="center" shrinkToFit="1"/>
    </xf>
    <xf numFmtId="185" fontId="13" fillId="0" borderId="66" xfId="4" applyNumberFormat="1" applyFont="1" applyBorder="1" applyAlignment="1">
      <alignment horizontal="right" vertical="center"/>
    </xf>
    <xf numFmtId="0" fontId="13" fillId="0" borderId="0" xfId="4" applyFont="1" applyAlignment="1">
      <alignment horizontal="left" vertical="center" indent="1"/>
    </xf>
    <xf numFmtId="0" fontId="19" fillId="7" borderId="78" xfId="6" applyNumberFormat="1" applyFont="1" applyFill="1" applyBorder="1" applyAlignment="1" applyProtection="1">
      <alignment horizontal="center" vertical="center"/>
    </xf>
    <xf numFmtId="185" fontId="13" fillId="0" borderId="70" xfId="4" applyNumberFormat="1" applyFont="1" applyBorder="1" applyAlignment="1">
      <alignment horizontal="right" vertical="center" shrinkToFit="1"/>
    </xf>
    <xf numFmtId="0" fontId="13" fillId="7" borderId="79" xfId="4" applyNumberFormat="1" applyFont="1" applyFill="1" applyBorder="1" applyAlignment="1">
      <alignment horizontal="center" vertical="center" shrinkToFit="1"/>
    </xf>
    <xf numFmtId="185" fontId="13" fillId="0" borderId="70" xfId="4" applyNumberFormat="1" applyFont="1" applyFill="1" applyBorder="1" applyAlignment="1">
      <alignment horizontal="right" vertical="center" shrinkToFit="1"/>
    </xf>
    <xf numFmtId="0" fontId="13" fillId="7" borderId="68" xfId="4" applyNumberFormat="1" applyFont="1" applyFill="1" applyBorder="1" applyAlignment="1">
      <alignment horizontal="center" vertical="center" shrinkToFit="1"/>
    </xf>
    <xf numFmtId="185" fontId="13" fillId="0" borderId="70" xfId="4" applyNumberFormat="1" applyFont="1" applyBorder="1" applyAlignment="1">
      <alignment horizontal="right" vertical="center"/>
    </xf>
    <xf numFmtId="186" fontId="5" fillId="0" borderId="0" xfId="2" applyNumberFormat="1" applyFont="1" applyFill="1" applyBorder="1" applyAlignment="1" applyProtection="1">
      <alignment horizontal="left" vertical="center" indent="1"/>
    </xf>
    <xf numFmtId="0" fontId="19" fillId="7" borderId="80" xfId="6" applyNumberFormat="1" applyFont="1" applyFill="1" applyBorder="1" applyAlignment="1" applyProtection="1">
      <alignment horizontal="center" vertical="center"/>
    </xf>
    <xf numFmtId="185" fontId="13" fillId="0" borderId="74" xfId="4" applyNumberFormat="1" applyFont="1" applyBorder="1" applyAlignment="1">
      <alignment horizontal="right" vertical="center" shrinkToFit="1"/>
    </xf>
    <xf numFmtId="0" fontId="13" fillId="7" borderId="81" xfId="4" applyNumberFormat="1" applyFont="1" applyFill="1" applyBorder="1" applyAlignment="1">
      <alignment horizontal="center" vertical="center" shrinkToFit="1"/>
    </xf>
    <xf numFmtId="185" fontId="13" fillId="0" borderId="74" xfId="4" applyNumberFormat="1" applyFont="1" applyFill="1" applyBorder="1" applyAlignment="1">
      <alignment horizontal="right" vertical="center" shrinkToFit="1"/>
    </xf>
    <xf numFmtId="0" fontId="13" fillId="7" borderId="72" xfId="4" applyNumberFormat="1" applyFont="1" applyFill="1" applyBorder="1" applyAlignment="1">
      <alignment horizontal="center" vertical="center" shrinkToFit="1"/>
    </xf>
    <xf numFmtId="185" fontId="13" fillId="0" borderId="74" xfId="4" applyNumberFormat="1" applyFont="1" applyBorder="1" applyAlignment="1">
      <alignment horizontal="right" vertical="center"/>
    </xf>
    <xf numFmtId="0" fontId="25" fillId="0" borderId="68" xfId="5" applyNumberFormat="1" applyFont="1" applyFill="1" applyBorder="1" applyAlignment="1">
      <alignment horizontal="right" vertical="center"/>
    </xf>
    <xf numFmtId="0" fontId="25" fillId="0" borderId="69" xfId="5" applyNumberFormat="1" applyFont="1" applyFill="1" applyBorder="1" applyAlignment="1">
      <alignment horizontal="right" vertical="center"/>
    </xf>
    <xf numFmtId="0" fontId="25" fillId="0" borderId="69" xfId="4" applyFont="1" applyBorder="1" applyAlignment="1">
      <alignment horizontal="right" vertical="center"/>
    </xf>
    <xf numFmtId="0" fontId="25" fillId="0" borderId="70" xfId="4" applyFont="1" applyBorder="1" applyAlignment="1">
      <alignment horizontal="right" vertical="center"/>
    </xf>
    <xf numFmtId="0" fontId="25" fillId="0" borderId="72" xfId="5" applyNumberFormat="1" applyFont="1" applyFill="1" applyBorder="1" applyAlignment="1">
      <alignment horizontal="right" vertical="center"/>
    </xf>
    <xf numFmtId="0" fontId="25" fillId="0" borderId="73" xfId="5" applyNumberFormat="1" applyFont="1" applyFill="1" applyBorder="1" applyAlignment="1">
      <alignment horizontal="right" vertical="center"/>
    </xf>
    <xf numFmtId="0" fontId="25" fillId="0" borderId="73" xfId="4" applyFont="1" applyBorder="1" applyAlignment="1">
      <alignment horizontal="right" vertical="center"/>
    </xf>
    <xf numFmtId="0" fontId="25" fillId="0" borderId="74" xfId="4" applyFont="1" applyBorder="1" applyAlignment="1">
      <alignment horizontal="right" vertical="center"/>
    </xf>
    <xf numFmtId="0" fontId="25" fillId="0" borderId="64" xfId="5" applyNumberFormat="1" applyFont="1" applyFill="1" applyBorder="1" applyAlignment="1">
      <alignment horizontal="right" vertical="center"/>
    </xf>
    <xf numFmtId="0" fontId="25" fillId="0" borderId="65" xfId="5" applyNumberFormat="1" applyFont="1" applyFill="1" applyBorder="1" applyAlignment="1">
      <alignment horizontal="right" vertical="center"/>
    </xf>
    <xf numFmtId="0" fontId="25" fillId="0" borderId="65" xfId="4" applyFont="1" applyBorder="1" applyAlignment="1">
      <alignment horizontal="right" vertical="center"/>
    </xf>
    <xf numFmtId="0" fontId="25" fillId="0" borderId="66" xfId="4" applyFont="1" applyBorder="1" applyAlignment="1">
      <alignment horizontal="right" vertical="center"/>
    </xf>
    <xf numFmtId="0" fontId="26" fillId="2" borderId="2" xfId="7" applyNumberFormat="1" applyFont="1" applyFill="1" applyBorder="1" applyAlignment="1">
      <alignment horizontal="left" vertical="center" indent="1"/>
    </xf>
    <xf numFmtId="0" fontId="13" fillId="2" borderId="3" xfId="7" applyNumberFormat="1" applyFont="1" applyFill="1" applyBorder="1"/>
    <xf numFmtId="0" fontId="13" fillId="2" borderId="4" xfId="7" applyNumberFormat="1" applyFont="1" applyFill="1" applyBorder="1"/>
    <xf numFmtId="0" fontId="13" fillId="0" borderId="0" xfId="8" applyFont="1"/>
    <xf numFmtId="0" fontId="13" fillId="0" borderId="0" xfId="8" applyNumberFormat="1" applyFont="1" applyBorder="1" applyAlignment="1">
      <alignment horizontal="center"/>
    </xf>
    <xf numFmtId="0" fontId="13" fillId="0" borderId="0" xfId="8" applyNumberFormat="1" applyFont="1" applyBorder="1"/>
    <xf numFmtId="0" fontId="13" fillId="0" borderId="0" xfId="8" applyNumberFormat="1" applyFont="1" applyBorder="1" applyAlignment="1">
      <alignment horizontal="right"/>
    </xf>
    <xf numFmtId="49" fontId="27" fillId="3" borderId="82" xfId="3" applyNumberFormat="1" applyFont="1" applyFill="1" applyBorder="1" applyAlignment="1">
      <alignment horizontal="center" vertical="center"/>
    </xf>
    <xf numFmtId="0" fontId="27" fillId="3" borderId="83" xfId="3" applyFont="1" applyFill="1" applyBorder="1" applyAlignment="1">
      <alignment horizontal="center" vertical="center" wrapText="1"/>
    </xf>
    <xf numFmtId="0" fontId="27" fillId="3" borderId="84" xfId="3" applyFont="1" applyFill="1" applyBorder="1" applyAlignment="1">
      <alignment horizontal="center" vertical="center" wrapText="1"/>
    </xf>
    <xf numFmtId="0" fontId="27" fillId="3" borderId="85" xfId="3" applyFont="1" applyFill="1" applyBorder="1" applyAlignment="1">
      <alignment horizontal="center" vertical="center" wrapText="1"/>
    </xf>
    <xf numFmtId="0" fontId="13" fillId="0" borderId="0" xfId="8" applyFont="1" applyBorder="1"/>
    <xf numFmtId="49" fontId="27" fillId="3" borderId="86" xfId="3" applyNumberFormat="1" applyFont="1" applyFill="1" applyBorder="1" applyAlignment="1">
      <alignment horizontal="center" vertical="center"/>
    </xf>
    <xf numFmtId="0" fontId="27" fillId="3" borderId="87" xfId="3" applyFont="1" applyFill="1" applyBorder="1" applyAlignment="1">
      <alignment horizontal="center" vertical="center" wrapText="1"/>
    </xf>
    <xf numFmtId="0" fontId="27" fillId="3" borderId="88" xfId="3" applyFont="1" applyFill="1" applyBorder="1" applyAlignment="1">
      <alignment horizontal="center" vertical="center" wrapText="1"/>
    </xf>
    <xf numFmtId="0" fontId="27" fillId="3" borderId="89" xfId="3" applyFont="1" applyFill="1" applyBorder="1" applyAlignment="1">
      <alignment horizontal="center" vertical="center" wrapText="1"/>
    </xf>
    <xf numFmtId="0" fontId="27" fillId="3" borderId="38" xfId="3" applyFont="1" applyFill="1" applyBorder="1" applyAlignment="1">
      <alignment horizontal="center" vertical="center" wrapText="1"/>
    </xf>
    <xf numFmtId="49" fontId="27" fillId="0" borderId="90" xfId="3" applyNumberFormat="1" applyFont="1" applyFill="1" applyBorder="1" applyAlignment="1">
      <alignment horizontal="center"/>
    </xf>
    <xf numFmtId="181" fontId="27" fillId="0" borderId="91" xfId="3" applyNumberFormat="1" applyFont="1" applyFill="1" applyBorder="1" applyAlignment="1"/>
    <xf numFmtId="181" fontId="27" fillId="0" borderId="91" xfId="3" applyNumberFormat="1" applyFont="1" applyFill="1" applyBorder="1" applyAlignment="1">
      <alignment horizontal="center"/>
    </xf>
    <xf numFmtId="181" fontId="27" fillId="0" borderId="92" xfId="3" applyNumberFormat="1" applyFont="1" applyFill="1" applyBorder="1" applyAlignment="1">
      <alignment horizontal="center"/>
    </xf>
    <xf numFmtId="0" fontId="27" fillId="0" borderId="93" xfId="3" applyFont="1" applyFill="1" applyBorder="1" applyAlignment="1">
      <alignment horizontal="center"/>
    </xf>
    <xf numFmtId="181" fontId="27" fillId="0" borderId="94" xfId="3" applyNumberFormat="1" applyFont="1" applyFill="1" applyBorder="1" applyAlignment="1"/>
    <xf numFmtId="181" fontId="27" fillId="0" borderId="94" xfId="3" applyNumberFormat="1" applyFont="1" applyFill="1" applyBorder="1" applyAlignment="1">
      <alignment horizontal="center"/>
    </xf>
    <xf numFmtId="181" fontId="27" fillId="0" borderId="95" xfId="3" applyNumberFormat="1" applyFont="1" applyFill="1" applyBorder="1" applyAlignment="1">
      <alignment horizontal="center"/>
    </xf>
    <xf numFmtId="49" fontId="27" fillId="0" borderId="93" xfId="3" applyNumberFormat="1" applyFont="1" applyFill="1" applyBorder="1" applyAlignment="1">
      <alignment horizontal="center"/>
    </xf>
    <xf numFmtId="0" fontId="13" fillId="0" borderId="96" xfId="8" applyFont="1" applyBorder="1"/>
    <xf numFmtId="0" fontId="13" fillId="0" borderId="97" xfId="8" applyFont="1" applyBorder="1"/>
    <xf numFmtId="0" fontId="13" fillId="0" borderId="56" xfId="8" applyFont="1" applyBorder="1"/>
    <xf numFmtId="49" fontId="28" fillId="2" borderId="2" xfId="5" applyNumberFormat="1" applyFont="1" applyFill="1" applyBorder="1" applyAlignment="1">
      <alignment horizontal="left" vertical="center" indent="1"/>
    </xf>
    <xf numFmtId="0" fontId="29" fillId="0" borderId="0" xfId="5" applyFont="1" applyBorder="1"/>
    <xf numFmtId="0" fontId="13" fillId="0" borderId="20" xfId="5" applyFont="1" applyBorder="1"/>
    <xf numFmtId="0" fontId="13" fillId="3" borderId="98" xfId="9" applyFont="1" applyFill="1" applyBorder="1" applyAlignment="1">
      <alignment horizontal="centerContinuous"/>
    </xf>
    <xf numFmtId="0" fontId="13" fillId="3" borderId="99" xfId="5" applyFont="1" applyFill="1" applyBorder="1" applyAlignment="1">
      <alignment horizontal="centerContinuous"/>
    </xf>
    <xf numFmtId="0" fontId="13" fillId="3" borderId="85" xfId="5" applyFont="1" applyFill="1" applyBorder="1" applyAlignment="1">
      <alignment horizontal="centerContinuous"/>
    </xf>
    <xf numFmtId="0" fontId="13" fillId="3" borderId="100" xfId="9" applyFont="1" applyFill="1" applyBorder="1" applyAlignment="1">
      <alignment horizontal="center"/>
    </xf>
    <xf numFmtId="0" fontId="13" fillId="3" borderId="40" xfId="9" applyFont="1" applyFill="1" applyBorder="1" applyAlignment="1">
      <alignment horizontal="center"/>
    </xf>
    <xf numFmtId="0" fontId="13" fillId="3" borderId="38" xfId="9" applyFont="1" applyFill="1" applyBorder="1" applyAlignment="1">
      <alignment horizontal="center"/>
    </xf>
    <xf numFmtId="187" fontId="13" fillId="0" borderId="101" xfId="5" applyNumberFormat="1" applyFont="1" applyBorder="1" applyAlignment="1">
      <alignment horizontal="center" shrinkToFit="1"/>
    </xf>
    <xf numFmtId="187" fontId="13" fillId="0" borderId="102" xfId="5" applyNumberFormat="1" applyFont="1" applyBorder="1" applyAlignment="1">
      <alignment horizontal="center" shrinkToFit="1"/>
    </xf>
    <xf numFmtId="187" fontId="13" fillId="0" borderId="31" xfId="5" applyNumberFormat="1" applyFont="1" applyBorder="1" applyAlignment="1">
      <alignment horizontal="center" shrinkToFit="1"/>
    </xf>
    <xf numFmtId="0" fontId="13" fillId="4" borderId="103" xfId="4" applyFont="1" applyFill="1" applyBorder="1" applyAlignment="1">
      <alignment horizontal="center" vertical="center"/>
    </xf>
    <xf numFmtId="0" fontId="13" fillId="3" borderId="32" xfId="5" applyFont="1" applyFill="1" applyBorder="1" applyAlignment="1">
      <alignment horizontal="center"/>
    </xf>
    <xf numFmtId="0" fontId="13" fillId="3" borderId="25" xfId="5" applyFont="1" applyFill="1" applyBorder="1" applyAlignment="1">
      <alignment horizontal="center"/>
    </xf>
    <xf numFmtId="0" fontId="13" fillId="3" borderId="26" xfId="5" applyFont="1" applyFill="1" applyBorder="1" applyAlignment="1">
      <alignment horizontal="center"/>
    </xf>
    <xf numFmtId="0" fontId="13" fillId="3" borderId="27" xfId="5" applyFont="1" applyFill="1" applyBorder="1" applyAlignment="1">
      <alignment horizontal="center"/>
    </xf>
    <xf numFmtId="0" fontId="13" fillId="0" borderId="104" xfId="5" applyFont="1" applyBorder="1" applyAlignment="1">
      <alignment horizontal="center" shrinkToFit="1"/>
    </xf>
    <xf numFmtId="0" fontId="13" fillId="0" borderId="105" xfId="5" applyFont="1" applyBorder="1"/>
    <xf numFmtId="0" fontId="13" fillId="0" borderId="106" xfId="5" applyFont="1" applyBorder="1"/>
    <xf numFmtId="0" fontId="13" fillId="0" borderId="107" xfId="5" applyFont="1" applyBorder="1"/>
    <xf numFmtId="0" fontId="13" fillId="0" borderId="105" xfId="5" applyFont="1" applyBorder="1"/>
    <xf numFmtId="0" fontId="13" fillId="0" borderId="106" xfId="5" applyFont="1" applyBorder="1"/>
    <xf numFmtId="0" fontId="13" fillId="0" borderId="107" xfId="5" applyFont="1" applyBorder="1"/>
    <xf numFmtId="0" fontId="13" fillId="0" borderId="108" xfId="5" applyFont="1" applyBorder="1" applyAlignment="1">
      <alignment horizontal="center" shrinkToFit="1"/>
    </xf>
    <xf numFmtId="0" fontId="13" fillId="0" borderId="109" xfId="5" applyFont="1" applyBorder="1"/>
    <xf numFmtId="0" fontId="13" fillId="0" borderId="110" xfId="5" applyFont="1" applyBorder="1"/>
    <xf numFmtId="0" fontId="13" fillId="0" borderId="111" xfId="5" applyFont="1" applyBorder="1"/>
    <xf numFmtId="0" fontId="13" fillId="0" borderId="109" xfId="5" applyFont="1" applyBorder="1"/>
    <xf numFmtId="0" fontId="13" fillId="0" borderId="110" xfId="5" applyFont="1" applyBorder="1"/>
    <xf numFmtId="0" fontId="13" fillId="0" borderId="111" xfId="5" applyFont="1" applyBorder="1"/>
    <xf numFmtId="0" fontId="13" fillId="0" borderId="108" xfId="5" applyFont="1" applyBorder="1" applyAlignment="1">
      <alignment horizontal="center"/>
    </xf>
    <xf numFmtId="0" fontId="13" fillId="0" borderId="112" xfId="5" applyFont="1" applyBorder="1" applyAlignment="1">
      <alignment horizontal="center" vertical="center"/>
    </xf>
    <xf numFmtId="0" fontId="13" fillId="0" borderId="113" xfId="5" applyFont="1" applyBorder="1" applyAlignment="1">
      <alignment wrapText="1"/>
    </xf>
    <xf numFmtId="0" fontId="13" fillId="0" borderId="114" xfId="5" applyFont="1" applyBorder="1"/>
    <xf numFmtId="0" fontId="13" fillId="0" borderId="115" xfId="5" applyFont="1" applyBorder="1"/>
    <xf numFmtId="0" fontId="13" fillId="0" borderId="36" xfId="5" applyFont="1" applyBorder="1" applyAlignment="1">
      <alignment horizontal="center" vertical="center"/>
    </xf>
    <xf numFmtId="0" fontId="13" fillId="0" borderId="68" xfId="5" applyFont="1" applyBorder="1"/>
    <xf numFmtId="0" fontId="13" fillId="0" borderId="69" xfId="5" applyFont="1" applyBorder="1"/>
    <xf numFmtId="0" fontId="13" fillId="0" borderId="70" xfId="5" applyFont="1" applyBorder="1"/>
    <xf numFmtId="0" fontId="13" fillId="0" borderId="116" xfId="5" applyFont="1" applyBorder="1" applyAlignment="1">
      <alignment horizontal="center" vertical="center"/>
    </xf>
    <xf numFmtId="0" fontId="13" fillId="0" borderId="117" xfId="5" applyFont="1" applyBorder="1" applyAlignment="1">
      <alignment shrinkToFit="1"/>
    </xf>
    <xf numFmtId="0" fontId="13" fillId="0" borderId="118" xfId="5" applyFont="1" applyBorder="1" applyAlignment="1">
      <alignment shrinkToFit="1"/>
    </xf>
    <xf numFmtId="0" fontId="13" fillId="0" borderId="119" xfId="5" applyFont="1" applyBorder="1" applyAlignment="1">
      <alignment shrinkToFit="1"/>
    </xf>
    <xf numFmtId="0" fontId="13" fillId="0" borderId="120" xfId="5" applyFont="1" applyBorder="1" applyAlignment="1">
      <alignment horizontal="center" vertical="center"/>
    </xf>
    <xf numFmtId="0" fontId="13" fillId="0" borderId="67" xfId="5" applyFont="1" applyBorder="1" applyAlignment="1">
      <alignment horizontal="center" vertical="center"/>
    </xf>
    <xf numFmtId="0" fontId="13" fillId="0" borderId="121" xfId="5" applyFont="1" applyBorder="1" applyAlignment="1">
      <alignment horizontal="center" vertical="center"/>
    </xf>
    <xf numFmtId="0" fontId="13" fillId="5" borderId="39" xfId="4" applyFont="1" applyFill="1" applyBorder="1" applyAlignment="1">
      <alignment horizontal="center" vertical="center"/>
    </xf>
    <xf numFmtId="184" fontId="13" fillId="3" borderId="26" xfId="5" applyNumberFormat="1" applyFont="1" applyFill="1" applyBorder="1" applyAlignment="1">
      <alignment horizontal="center"/>
    </xf>
    <xf numFmtId="184" fontId="13" fillId="3" borderId="26" xfId="4" applyNumberFormat="1" applyFont="1" applyFill="1" applyBorder="1" applyAlignment="1">
      <alignment horizontal="center"/>
    </xf>
    <xf numFmtId="184" fontId="13" fillId="3" borderId="27" xfId="4" applyNumberFormat="1" applyFont="1" applyFill="1" applyBorder="1" applyAlignment="1">
      <alignment horizontal="center"/>
    </xf>
    <xf numFmtId="0" fontId="25" fillId="0" borderId="113" xfId="5" applyFont="1" applyBorder="1"/>
    <xf numFmtId="0" fontId="25" fillId="0" borderId="114" xfId="5" applyFont="1" applyBorder="1"/>
    <xf numFmtId="0" fontId="25" fillId="0" borderId="115" xfId="5" applyFont="1" applyBorder="1"/>
    <xf numFmtId="0" fontId="25" fillId="0" borderId="68" xfId="5" applyFont="1" applyBorder="1"/>
    <xf numFmtId="0" fontId="25" fillId="0" borderId="69" xfId="5" applyFont="1" applyBorder="1"/>
    <xf numFmtId="0" fontId="25" fillId="0" borderId="70" xfId="5" applyFont="1" applyBorder="1"/>
    <xf numFmtId="0" fontId="25" fillId="0" borderId="117" xfId="5" applyFont="1" applyBorder="1"/>
    <xf numFmtId="0" fontId="25" fillId="0" borderId="118" xfId="5" applyFont="1" applyBorder="1"/>
    <xf numFmtId="0" fontId="25" fillId="0" borderId="119" xfId="5" applyFont="1" applyBorder="1"/>
    <xf numFmtId="0" fontId="31" fillId="2" borderId="2" xfId="2" applyFont="1" applyFill="1" applyBorder="1" applyAlignment="1" applyProtection="1">
      <alignment horizontal="left" vertical="center" indent="1"/>
      <protection locked="0"/>
    </xf>
    <xf numFmtId="0" fontId="2" fillId="2" borderId="3" xfId="2" applyFont="1" applyFill="1" applyBorder="1" applyProtection="1">
      <protection locked="0"/>
    </xf>
    <xf numFmtId="0" fontId="2" fillId="2" borderId="3" xfId="2" applyFont="1" applyFill="1" applyBorder="1" applyAlignment="1" applyProtection="1">
      <alignment horizontal="center"/>
      <protection locked="0"/>
    </xf>
    <xf numFmtId="0" fontId="2" fillId="2" borderId="4" xfId="2" applyFont="1" applyFill="1" applyBorder="1" applyProtection="1">
      <protection locked="0"/>
    </xf>
    <xf numFmtId="0" fontId="2" fillId="0" borderId="0" xfId="2" applyFont="1" applyProtection="1">
      <protection locked="0"/>
    </xf>
    <xf numFmtId="0" fontId="5" fillId="0" borderId="0" xfId="10" applyFont="1" applyBorder="1"/>
    <xf numFmtId="0" fontId="5" fillId="0" borderId="0" xfId="10" applyFont="1" applyBorder="1" applyAlignment="1">
      <alignment horizontal="center"/>
    </xf>
    <xf numFmtId="188" fontId="5" fillId="0" borderId="0" xfId="10" applyNumberFormat="1" applyFont="1" applyBorder="1" applyAlignment="1"/>
    <xf numFmtId="0" fontId="5" fillId="0" borderId="0" xfId="10" applyFont="1" applyBorder="1" applyAlignment="1"/>
    <xf numFmtId="0" fontId="5" fillId="0" borderId="0" xfId="10" applyFont="1"/>
    <xf numFmtId="0" fontId="18" fillId="3" borderId="75" xfId="10" applyFont="1" applyFill="1" applyBorder="1" applyAlignment="1">
      <alignment horizontal="center" vertical="center"/>
    </xf>
    <xf numFmtId="0" fontId="18" fillId="3" borderId="122" xfId="10" applyFont="1" applyFill="1" applyBorder="1" applyAlignment="1">
      <alignment horizontal="center" vertical="center" textRotation="255"/>
    </xf>
    <xf numFmtId="0" fontId="18" fillId="3" borderId="122" xfId="10" applyFont="1" applyFill="1" applyBorder="1" applyAlignment="1">
      <alignment horizontal="center" vertical="center"/>
    </xf>
    <xf numFmtId="188" fontId="18" fillId="3" borderId="26" xfId="10" applyNumberFormat="1" applyFont="1" applyFill="1" applyBorder="1" applyAlignment="1">
      <alignment horizontal="center" vertical="center" wrapText="1"/>
    </xf>
    <xf numFmtId="0" fontId="18" fillId="3" borderId="26" xfId="10" applyFont="1" applyFill="1" applyBorder="1" applyAlignment="1">
      <alignment horizontal="center" vertical="center" wrapText="1" shrinkToFit="1"/>
    </xf>
    <xf numFmtId="0" fontId="18" fillId="3" borderId="122" xfId="10" applyFont="1" applyFill="1" applyBorder="1" applyAlignment="1">
      <alignment horizontal="center" vertical="center" wrapText="1"/>
    </xf>
    <xf numFmtId="0" fontId="18" fillId="3" borderId="27" xfId="10" applyFont="1" applyFill="1" applyBorder="1" applyAlignment="1">
      <alignment horizontal="center" vertical="center" wrapText="1"/>
    </xf>
    <xf numFmtId="0" fontId="18" fillId="3" borderId="100" xfId="10" applyFont="1" applyFill="1" applyBorder="1" applyAlignment="1">
      <alignment horizontal="center" vertical="center"/>
    </xf>
    <xf numFmtId="0" fontId="18" fillId="3" borderId="40" xfId="10" applyFont="1" applyFill="1" applyBorder="1" applyAlignment="1">
      <alignment horizontal="center" vertical="center" textRotation="255"/>
    </xf>
    <xf numFmtId="0" fontId="18" fillId="3" borderId="62" xfId="10" applyFont="1" applyFill="1" applyBorder="1" applyAlignment="1">
      <alignment horizontal="center" vertical="center"/>
    </xf>
    <xf numFmtId="188" fontId="18" fillId="3" borderId="62" xfId="10" applyNumberFormat="1" applyFont="1" applyFill="1" applyBorder="1" applyAlignment="1">
      <alignment horizontal="center" vertical="center" wrapText="1"/>
    </xf>
    <xf numFmtId="0" fontId="18" fillId="3" borderId="62" xfId="10" applyFont="1" applyFill="1" applyBorder="1" applyAlignment="1">
      <alignment horizontal="center" vertical="center" wrapText="1" shrinkToFit="1"/>
    </xf>
    <xf numFmtId="0" fontId="18" fillId="3" borderId="123" xfId="10" applyFont="1" applyFill="1" applyBorder="1" applyAlignment="1">
      <alignment horizontal="center" vertical="center" wrapText="1"/>
    </xf>
    <xf numFmtId="0" fontId="18" fillId="3" borderId="62" xfId="10" applyFont="1" applyFill="1" applyBorder="1" applyAlignment="1">
      <alignment horizontal="center" vertical="center" textRotation="255"/>
    </xf>
    <xf numFmtId="0" fontId="18" fillId="3" borderId="46" xfId="10" applyFont="1" applyFill="1" applyBorder="1" applyAlignment="1">
      <alignment horizontal="center" vertical="center" wrapText="1"/>
    </xf>
    <xf numFmtId="0" fontId="18" fillId="0" borderId="124" xfId="10" applyFont="1" applyBorder="1"/>
    <xf numFmtId="0" fontId="5" fillId="0" borderId="124" xfId="10" applyFont="1" applyBorder="1" applyAlignment="1">
      <alignment horizontal="center"/>
    </xf>
    <xf numFmtId="0" fontId="5" fillId="0" borderId="124" xfId="10" applyFont="1" applyBorder="1" applyAlignment="1">
      <alignment shrinkToFit="1"/>
    </xf>
    <xf numFmtId="188" fontId="5" fillId="0" borderId="124" xfId="10" applyNumberFormat="1" applyFont="1" applyBorder="1" applyAlignment="1"/>
    <xf numFmtId="0" fontId="5" fillId="0" borderId="124" xfId="10" applyNumberFormat="1" applyFont="1" applyBorder="1" applyAlignment="1">
      <alignment horizontal="right"/>
    </xf>
    <xf numFmtId="188" fontId="5" fillId="10" borderId="125" xfId="10" applyNumberFormat="1" applyFont="1" applyFill="1" applyBorder="1" applyAlignment="1"/>
    <xf numFmtId="0" fontId="18" fillId="0" borderId="40" xfId="10" applyFont="1" applyBorder="1"/>
    <xf numFmtId="0" fontId="5" fillId="0" borderId="40" xfId="10" applyFont="1" applyBorder="1" applyAlignment="1">
      <alignment horizontal="center"/>
    </xf>
    <xf numFmtId="0" fontId="5" fillId="0" borderId="40" xfId="10" applyFont="1" applyBorder="1" applyAlignment="1">
      <alignment shrinkToFit="1"/>
    </xf>
    <xf numFmtId="188" fontId="5" fillId="0" borderId="40" xfId="10" applyNumberFormat="1" applyFont="1" applyBorder="1" applyAlignment="1"/>
    <xf numFmtId="0" fontId="5" fillId="0" borderId="40" xfId="10" applyNumberFormat="1" applyFont="1" applyBorder="1" applyAlignment="1">
      <alignment horizontal="right"/>
    </xf>
    <xf numFmtId="188" fontId="5" fillId="10" borderId="38" xfId="10" applyNumberFormat="1" applyFont="1" applyFill="1" applyBorder="1" applyAlignment="1"/>
    <xf numFmtId="0" fontId="18" fillId="0" borderId="126" xfId="10" applyFont="1" applyBorder="1"/>
    <xf numFmtId="0" fontId="5" fillId="0" borderId="126" xfId="10" applyFont="1" applyBorder="1" applyAlignment="1">
      <alignment horizontal="center"/>
    </xf>
    <xf numFmtId="0" fontId="5" fillId="0" borderId="126" xfId="10" applyFont="1" applyBorder="1" applyAlignment="1">
      <alignment shrinkToFit="1"/>
    </xf>
    <xf numFmtId="188" fontId="5" fillId="0" borderId="126" xfId="10" applyNumberFormat="1" applyFont="1" applyBorder="1" applyAlignment="1"/>
    <xf numFmtId="0" fontId="5" fillId="0" borderId="126" xfId="10" applyNumberFormat="1" applyFont="1" applyBorder="1" applyAlignment="1">
      <alignment horizontal="right"/>
    </xf>
    <xf numFmtId="188" fontId="5" fillId="10" borderId="127" xfId="10" applyNumberFormat="1" applyFont="1" applyFill="1" applyBorder="1" applyAlignment="1"/>
    <xf numFmtId="0" fontId="5" fillId="0" borderId="128" xfId="10" applyFont="1" applyBorder="1"/>
    <xf numFmtId="0" fontId="5" fillId="0" borderId="128" xfId="10" applyFont="1" applyBorder="1" applyAlignment="1">
      <alignment horizontal="center"/>
    </xf>
    <xf numFmtId="188" fontId="5" fillId="0" borderId="128" xfId="10" applyNumberFormat="1" applyFont="1" applyBorder="1" applyAlignment="1"/>
    <xf numFmtId="188" fontId="5" fillId="10" borderId="129" xfId="10" applyNumberFormat="1" applyFont="1" applyFill="1" applyBorder="1" applyAlignment="1"/>
    <xf numFmtId="0" fontId="18" fillId="0" borderId="20" xfId="10" applyFont="1" applyBorder="1"/>
    <xf numFmtId="0" fontId="18" fillId="0" borderId="20" xfId="10" applyFont="1" applyBorder="1" applyAlignment="1">
      <alignment horizontal="center"/>
    </xf>
    <xf numFmtId="0" fontId="18" fillId="0" borderId="20" xfId="10" applyFont="1" applyFill="1" applyBorder="1" applyAlignment="1"/>
    <xf numFmtId="188" fontId="18" fillId="0" borderId="20" xfId="10" applyNumberFormat="1" applyFont="1" applyFill="1" applyBorder="1" applyAlignment="1"/>
    <xf numFmtId="0" fontId="18" fillId="0" borderId="20" xfId="10" applyNumberFormat="1" applyFont="1" applyFill="1" applyBorder="1" applyAlignment="1"/>
    <xf numFmtId="188" fontId="18" fillId="0" borderId="127" xfId="10" applyNumberFormat="1" applyFont="1" applyFill="1" applyBorder="1" applyAlignment="1"/>
    <xf numFmtId="0" fontId="5" fillId="0" borderId="40" xfId="10" applyFont="1" applyFill="1" applyBorder="1" applyAlignment="1">
      <alignment shrinkToFit="1"/>
    </xf>
    <xf numFmtId="188" fontId="5" fillId="0" borderId="40" xfId="10" applyNumberFormat="1" applyFont="1" applyFill="1" applyBorder="1" applyAlignment="1"/>
    <xf numFmtId="0" fontId="5" fillId="0" borderId="40" xfId="10" applyNumberFormat="1" applyFont="1" applyFill="1" applyBorder="1" applyAlignment="1">
      <alignment horizontal="right"/>
    </xf>
    <xf numFmtId="188" fontId="5" fillId="0" borderId="38" xfId="10" applyNumberFormat="1" applyFont="1" applyFill="1" applyBorder="1" applyAlignment="1"/>
    <xf numFmtId="0" fontId="5" fillId="0" borderId="126" xfId="10" applyFont="1" applyFill="1" applyBorder="1" applyAlignment="1">
      <alignment shrinkToFit="1"/>
    </xf>
    <xf numFmtId="188" fontId="5" fillId="0" borderId="126" xfId="10" applyNumberFormat="1" applyFont="1" applyFill="1" applyBorder="1" applyAlignment="1"/>
    <xf numFmtId="0" fontId="5" fillId="0" borderId="126" xfId="10" applyNumberFormat="1" applyFont="1" applyFill="1" applyBorder="1" applyAlignment="1">
      <alignment horizontal="right"/>
    </xf>
    <xf numFmtId="188" fontId="5" fillId="0" borderId="127" xfId="10" applyNumberFormat="1" applyFont="1" applyFill="1" applyBorder="1" applyAlignment="1"/>
    <xf numFmtId="0" fontId="5" fillId="0" borderId="128" xfId="10" applyFont="1" applyFill="1" applyBorder="1" applyAlignment="1"/>
    <xf numFmtId="188" fontId="5" fillId="0" borderId="128" xfId="10" applyNumberFormat="1" applyFont="1" applyFill="1" applyBorder="1" applyAlignment="1"/>
    <xf numFmtId="188" fontId="5" fillId="0" borderId="129" xfId="10" applyNumberFormat="1" applyFont="1" applyFill="1" applyBorder="1" applyAlignment="1"/>
    <xf numFmtId="0" fontId="18" fillId="0" borderId="81" xfId="10" applyFont="1" applyBorder="1"/>
    <xf numFmtId="0" fontId="18" fillId="0" borderId="81" xfId="10" applyFont="1" applyBorder="1" applyAlignment="1">
      <alignment horizontal="center"/>
    </xf>
    <xf numFmtId="0" fontId="18" fillId="0" borderId="81" xfId="10" applyFont="1" applyFill="1" applyBorder="1" applyAlignment="1"/>
    <xf numFmtId="188" fontId="18" fillId="0" borderId="81" xfId="10" applyNumberFormat="1" applyFont="1" applyFill="1" applyBorder="1" applyAlignment="1"/>
    <xf numFmtId="0" fontId="18" fillId="0" borderId="81" xfId="10" applyNumberFormat="1" applyFont="1" applyFill="1" applyBorder="1" applyAlignment="1"/>
    <xf numFmtId="188" fontId="18" fillId="0" borderId="130" xfId="10" applyNumberFormat="1" applyFont="1" applyFill="1" applyBorder="1" applyAlignment="1"/>
    <xf numFmtId="0" fontId="5" fillId="0" borderId="0" xfId="10" applyFont="1" applyAlignment="1">
      <alignment horizontal="center"/>
    </xf>
    <xf numFmtId="188" fontId="5" fillId="0" borderId="0" xfId="10" applyNumberFormat="1" applyFont="1" applyAlignment="1"/>
    <xf numFmtId="0" fontId="5" fillId="0" borderId="0" xfId="10" applyFont="1" applyAlignment="1"/>
    <xf numFmtId="0" fontId="18" fillId="11" borderId="0" xfId="10" applyFont="1" applyFill="1"/>
    <xf numFmtId="188" fontId="5" fillId="0" borderId="124" xfId="10" applyNumberFormat="1" applyFont="1" applyBorder="1" applyAlignment="1">
      <alignment horizontal="center"/>
    </xf>
    <xf numFmtId="188" fontId="5" fillId="0" borderId="40" xfId="10" applyNumberFormat="1" applyFont="1" applyBorder="1" applyAlignment="1">
      <alignment horizontal="center"/>
    </xf>
    <xf numFmtId="0" fontId="5" fillId="0" borderId="40" xfId="10" applyNumberFormat="1" applyFont="1" applyBorder="1" applyAlignment="1">
      <alignment horizontal="center"/>
    </xf>
    <xf numFmtId="188" fontId="5" fillId="0" borderId="40" xfId="10" applyNumberFormat="1" applyFont="1" applyFill="1" applyBorder="1" applyAlignment="1">
      <alignment horizontal="center"/>
    </xf>
    <xf numFmtId="0" fontId="5" fillId="0" borderId="40" xfId="10" applyNumberFormat="1" applyFont="1" applyFill="1" applyBorder="1" applyAlignment="1">
      <alignment horizontal="center"/>
    </xf>
    <xf numFmtId="0" fontId="5" fillId="0" borderId="131" xfId="10" applyFont="1" applyBorder="1" applyAlignment="1">
      <alignment vertical="top" wrapText="1" shrinkToFit="1"/>
    </xf>
    <xf numFmtId="0" fontId="0" fillId="0" borderId="62" xfId="0" applyBorder="1" applyAlignment="1">
      <alignment vertical="top" wrapText="1" shrinkToFit="1"/>
    </xf>
    <xf numFmtId="0" fontId="5" fillId="0" borderId="132" xfId="10" applyFont="1" applyFill="1" applyBorder="1" applyAlignment="1">
      <alignment vertical="top" wrapText="1" shrinkToFit="1"/>
    </xf>
    <xf numFmtId="0" fontId="32" fillId="2" borderId="21"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right" vertical="center" indent="1"/>
      <protection locked="0"/>
    </xf>
    <xf numFmtId="0" fontId="33" fillId="2" borderId="23" xfId="2" applyFont="1" applyFill="1" applyBorder="1" applyAlignment="1" applyProtection="1">
      <alignment horizontal="left" vertical="center" indent="1"/>
      <protection locked="0"/>
    </xf>
    <xf numFmtId="0" fontId="33" fillId="0" borderId="133" xfId="2" applyFont="1" applyFill="1" applyBorder="1" applyAlignment="1" applyProtection="1">
      <alignment horizontal="left" vertical="center" indent="1"/>
      <protection locked="0"/>
    </xf>
    <xf numFmtId="0" fontId="33" fillId="0" borderId="134" xfId="2" applyFont="1" applyFill="1" applyBorder="1" applyAlignment="1" applyProtection="1">
      <alignment horizontal="left" vertical="center" indent="1"/>
      <protection locked="0"/>
    </xf>
    <xf numFmtId="0" fontId="33" fillId="0" borderId="0" xfId="2" applyFont="1" applyFill="1" applyBorder="1" applyAlignment="1" applyProtection="1">
      <alignment horizontal="left" vertical="center" indent="1"/>
      <protection locked="0"/>
    </xf>
    <xf numFmtId="0" fontId="33" fillId="0" borderId="0" xfId="2" applyNumberFormat="1" applyFont="1" applyFill="1" applyBorder="1" applyAlignment="1" applyProtection="1">
      <alignment horizontal="left" vertical="center" indent="1"/>
      <protection locked="0"/>
    </xf>
    <xf numFmtId="176" fontId="18" fillId="0" borderId="0" xfId="2" applyNumberFormat="1" applyFont="1" applyFill="1" applyAlignment="1" applyProtection="1">
      <alignment horizontal="left" vertical="center" indent="1"/>
      <protection locked="0"/>
    </xf>
    <xf numFmtId="0" fontId="33" fillId="0" borderId="0" xfId="2" applyFont="1" applyFill="1" applyAlignment="1" applyProtection="1">
      <alignment horizontal="left" vertical="center" indent="1"/>
      <protection locked="0"/>
    </xf>
    <xf numFmtId="0" fontId="33" fillId="0" borderId="0" xfId="2" applyFont="1" applyAlignment="1" applyProtection="1">
      <alignment horizontal="left" vertical="center" indent="1"/>
      <protection locked="0"/>
    </xf>
    <xf numFmtId="0" fontId="5" fillId="0" borderId="0" xfId="2" applyFont="1" applyFill="1" applyBorder="1" applyProtection="1">
      <protection locked="0"/>
    </xf>
    <xf numFmtId="0" fontId="5" fillId="0" borderId="0" xfId="2" applyFont="1" applyFill="1" applyProtection="1">
      <protection locked="0"/>
    </xf>
    <xf numFmtId="0" fontId="5" fillId="0" borderId="34" xfId="2" applyFont="1" applyFill="1" applyBorder="1" applyProtection="1">
      <protection locked="0"/>
    </xf>
    <xf numFmtId="0" fontId="5" fillId="0" borderId="134" xfId="2" applyFont="1" applyFill="1" applyBorder="1" applyProtection="1">
      <protection locked="0"/>
    </xf>
    <xf numFmtId="0" fontId="5" fillId="0" borderId="0" xfId="2" applyFont="1" applyFill="1" applyAlignment="1" applyProtection="1">
      <alignment vertical="center"/>
      <protection locked="0"/>
    </xf>
    <xf numFmtId="0" fontId="5" fillId="0" borderId="0" xfId="2" applyFont="1" applyFill="1" applyBorder="1" applyAlignment="1" applyProtection="1">
      <alignment vertical="center"/>
      <protection locked="0"/>
    </xf>
    <xf numFmtId="0" fontId="5" fillId="0" borderId="0" xfId="2" applyFont="1" applyProtection="1">
      <protection locked="0"/>
    </xf>
    <xf numFmtId="0" fontId="5" fillId="12" borderId="135" xfId="2" applyFont="1" applyFill="1" applyBorder="1" applyAlignment="1" applyProtection="1">
      <alignment horizontal="center" vertical="center"/>
    </xf>
    <xf numFmtId="0" fontId="5" fillId="12" borderId="136" xfId="2" applyNumberFormat="1" applyFont="1" applyFill="1" applyBorder="1" applyAlignment="1" applyProtection="1">
      <alignment horizontal="center" vertical="center" shrinkToFit="1"/>
    </xf>
    <xf numFmtId="0" fontId="5" fillId="12" borderId="137" xfId="2" applyFont="1" applyFill="1" applyBorder="1" applyAlignment="1" applyProtection="1">
      <alignment horizontal="center" vertical="center"/>
    </xf>
    <xf numFmtId="189" fontId="5" fillId="12" borderId="34" xfId="2" applyNumberFormat="1" applyFont="1" applyFill="1" applyBorder="1" applyAlignment="1" applyProtection="1">
      <alignment horizontal="left" vertical="center" indent="1" shrinkToFit="1"/>
    </xf>
    <xf numFmtId="189" fontId="5" fillId="12" borderId="138" xfId="2" applyNumberFormat="1" applyFont="1" applyFill="1" applyBorder="1" applyAlignment="1" applyProtection="1">
      <alignment horizontal="left" vertical="center" indent="1" shrinkToFit="1"/>
    </xf>
    <xf numFmtId="0" fontId="5" fillId="12" borderId="139" xfId="2" applyFont="1" applyFill="1" applyBorder="1" applyAlignment="1" applyProtection="1">
      <alignment horizontal="center" vertical="center" wrapText="1"/>
    </xf>
    <xf numFmtId="0" fontId="5" fillId="12" borderId="138" xfId="2" applyFont="1" applyFill="1" applyBorder="1" applyAlignment="1" applyProtection="1">
      <alignment horizontal="center" vertical="center" wrapText="1"/>
    </xf>
    <xf numFmtId="0" fontId="5" fillId="12" borderId="140" xfId="2" applyFont="1" applyFill="1" applyBorder="1" applyAlignment="1" applyProtection="1">
      <alignment horizontal="center" vertical="center"/>
    </xf>
    <xf numFmtId="0" fontId="5" fillId="12" borderId="141" xfId="2" applyFont="1" applyFill="1" applyBorder="1" applyAlignment="1" applyProtection="1">
      <alignment horizontal="center" vertical="center"/>
    </xf>
    <xf numFmtId="0" fontId="5" fillId="12" borderId="142" xfId="2" applyFont="1" applyFill="1" applyBorder="1" applyAlignment="1" applyProtection="1">
      <alignment horizontal="center" vertical="center"/>
    </xf>
    <xf numFmtId="0" fontId="5" fillId="12" borderId="143" xfId="2" applyFont="1" applyFill="1" applyBorder="1" applyAlignment="1" applyProtection="1">
      <alignment horizontal="center" vertical="center"/>
    </xf>
    <xf numFmtId="0" fontId="5" fillId="12" borderId="84" xfId="2" applyFont="1" applyFill="1" applyBorder="1" applyAlignment="1" applyProtection="1">
      <alignment horizontal="center" vertical="center"/>
    </xf>
    <xf numFmtId="0" fontId="5" fillId="12" borderId="85" xfId="2" applyFont="1" applyFill="1" applyBorder="1" applyAlignment="1" applyProtection="1">
      <alignment horizontal="center" vertical="center"/>
    </xf>
    <xf numFmtId="0" fontId="5" fillId="0" borderId="0" xfId="2" applyFont="1" applyFill="1" applyBorder="1" applyAlignment="1" applyProtection="1">
      <alignment horizontal="center"/>
    </xf>
    <xf numFmtId="189" fontId="5" fillId="12" borderId="34" xfId="2" applyNumberFormat="1" applyFont="1" applyFill="1" applyBorder="1" applyAlignment="1" applyProtection="1">
      <alignment vertical="center" shrinkToFit="1"/>
    </xf>
    <xf numFmtId="189" fontId="5" fillId="12" borderId="138" xfId="2" applyNumberFormat="1" applyFont="1" applyFill="1" applyBorder="1" applyAlignment="1" applyProtection="1">
      <alignment vertical="center" shrinkToFit="1"/>
    </xf>
    <xf numFmtId="0" fontId="5" fillId="0" borderId="0" xfId="2" applyFont="1" applyFill="1" applyBorder="1" applyAlignment="1" applyProtection="1">
      <alignment vertical="center"/>
    </xf>
    <xf numFmtId="177" fontId="18" fillId="7" borderId="21" xfId="2" applyNumberFormat="1" applyFont="1" applyFill="1" applyBorder="1" applyAlignment="1" applyProtection="1">
      <alignment horizontal="center" vertical="center"/>
    </xf>
    <xf numFmtId="177" fontId="18" fillId="7" borderId="22" xfId="2" applyNumberFormat="1" applyFont="1" applyFill="1" applyBorder="1" applyAlignment="1" applyProtection="1">
      <alignment horizontal="center" vertical="center"/>
    </xf>
    <xf numFmtId="177" fontId="18" fillId="7" borderId="23" xfId="2" applyNumberFormat="1" applyFont="1" applyFill="1" applyBorder="1" applyAlignment="1" applyProtection="1">
      <alignment horizontal="center" vertical="center"/>
    </xf>
    <xf numFmtId="177" fontId="5" fillId="0" borderId="0" xfId="2" applyNumberFormat="1" applyFont="1" applyFill="1" applyBorder="1" applyAlignment="1" applyProtection="1">
      <alignment vertical="center"/>
    </xf>
    <xf numFmtId="0" fontId="5" fillId="0" borderId="0" xfId="2" applyFont="1" applyFill="1" applyBorder="1" applyAlignment="1" applyProtection="1">
      <alignment horizontal="center" shrinkToFit="1"/>
      <protection locked="0"/>
    </xf>
    <xf numFmtId="0" fontId="5" fillId="0" borderId="0" xfId="2" applyFont="1" applyFill="1" applyAlignment="1" applyProtection="1">
      <alignment horizontal="left"/>
      <protection locked="0"/>
    </xf>
    <xf numFmtId="0" fontId="5" fillId="0" borderId="0" xfId="11" applyFont="1" applyFill="1" applyBorder="1" applyAlignment="1">
      <alignment horizontal="left"/>
    </xf>
    <xf numFmtId="0" fontId="5" fillId="12" borderId="144" xfId="2" applyFont="1" applyFill="1" applyBorder="1" applyAlignment="1" applyProtection="1">
      <alignment horizontal="center" vertical="center"/>
    </xf>
    <xf numFmtId="0" fontId="5" fillId="12" borderId="145" xfId="2" applyNumberFormat="1" applyFont="1" applyFill="1" applyBorder="1" applyAlignment="1" applyProtection="1">
      <alignment horizontal="center" vertical="center" shrinkToFit="1"/>
    </xf>
    <xf numFmtId="0" fontId="5" fillId="12" borderId="146" xfId="2" applyFont="1" applyFill="1" applyBorder="1" applyAlignment="1" applyProtection="1">
      <alignment horizontal="center" vertical="center"/>
    </xf>
    <xf numFmtId="189" fontId="5" fillId="12" borderId="20" xfId="2" applyNumberFormat="1" applyFont="1" applyFill="1" applyBorder="1" applyAlignment="1" applyProtection="1">
      <alignment horizontal="left" vertical="center" indent="1" shrinkToFit="1"/>
    </xf>
    <xf numFmtId="189" fontId="5" fillId="12" borderId="147" xfId="2" applyNumberFormat="1" applyFont="1" applyFill="1" applyBorder="1" applyAlignment="1" applyProtection="1">
      <alignment horizontal="left" vertical="center" indent="1" shrinkToFit="1"/>
    </xf>
    <xf numFmtId="0" fontId="5" fillId="12" borderId="148" xfId="2" applyFont="1" applyFill="1" applyBorder="1" applyAlignment="1" applyProtection="1">
      <alignment horizontal="center" vertical="center" wrapText="1"/>
    </xf>
    <xf numFmtId="0" fontId="5" fillId="12" borderId="149" xfId="2" applyFont="1" applyFill="1" applyBorder="1" applyAlignment="1" applyProtection="1">
      <alignment horizontal="center" vertical="center" wrapText="1"/>
    </xf>
    <xf numFmtId="0" fontId="5" fillId="12" borderId="150" xfId="2" applyFont="1" applyFill="1" applyBorder="1" applyAlignment="1" applyProtection="1">
      <alignment horizontal="center" vertical="center"/>
    </xf>
    <xf numFmtId="0" fontId="5" fillId="12" borderId="151" xfId="2" applyFont="1" applyFill="1" applyBorder="1" applyAlignment="1" applyProtection="1">
      <alignment horizontal="center" vertical="center"/>
    </xf>
    <xf numFmtId="0" fontId="5" fillId="12" borderId="152" xfId="2" applyFont="1" applyFill="1" applyBorder="1" applyAlignment="1" applyProtection="1">
      <alignment horizontal="center" vertical="center"/>
    </xf>
    <xf numFmtId="0" fontId="5" fillId="12" borderId="153" xfId="2" applyFont="1" applyFill="1" applyBorder="1" applyAlignment="1" applyProtection="1">
      <alignment horizontal="center" vertical="center"/>
    </xf>
    <xf numFmtId="0" fontId="5" fillId="12" borderId="154" xfId="2" applyFont="1" applyFill="1" applyBorder="1" applyAlignment="1" applyProtection="1">
      <alignment horizontal="center" vertical="center"/>
    </xf>
    <xf numFmtId="0" fontId="5" fillId="12" borderId="155" xfId="2" applyFont="1" applyFill="1" applyBorder="1" applyAlignment="1" applyProtection="1">
      <alignment horizontal="center" vertical="center"/>
    </xf>
    <xf numFmtId="0" fontId="5" fillId="12" borderId="156" xfId="2" applyFont="1" applyFill="1" applyBorder="1" applyAlignment="1" applyProtection="1">
      <alignment horizontal="center" vertical="center"/>
    </xf>
    <xf numFmtId="189" fontId="5" fillId="12" borderId="157" xfId="2" applyNumberFormat="1" applyFont="1" applyFill="1" applyBorder="1" applyAlignment="1" applyProtection="1">
      <alignment horizontal="center" vertical="center" shrinkToFit="1"/>
    </xf>
    <xf numFmtId="189" fontId="5" fillId="12" borderId="0" xfId="2" applyNumberFormat="1" applyFont="1" applyFill="1" applyBorder="1" applyAlignment="1" applyProtection="1">
      <alignment horizontal="center" vertical="center" shrinkToFit="1"/>
    </xf>
    <xf numFmtId="189" fontId="5" fillId="12" borderId="38" xfId="2" applyNumberFormat="1" applyFont="1" applyFill="1" applyBorder="1" applyAlignment="1" applyProtection="1">
      <alignment horizontal="center" vertical="center" shrinkToFit="1"/>
    </xf>
    <xf numFmtId="189" fontId="5" fillId="12" borderId="20" xfId="2" applyNumberFormat="1" applyFont="1" applyFill="1" applyBorder="1" applyAlignment="1" applyProtection="1">
      <alignment vertical="center" shrinkToFit="1"/>
    </xf>
    <xf numFmtId="189" fontId="5" fillId="12" borderId="147" xfId="2" applyNumberFormat="1" applyFont="1" applyFill="1" applyBorder="1" applyAlignment="1" applyProtection="1">
      <alignment vertical="center" shrinkToFit="1"/>
    </xf>
    <xf numFmtId="177" fontId="18" fillId="0" borderId="0" xfId="2" applyNumberFormat="1" applyFont="1" applyFill="1" applyBorder="1" applyAlignment="1" applyProtection="1">
      <alignment horizontal="center" vertical="center"/>
    </xf>
    <xf numFmtId="0" fontId="5" fillId="0" borderId="0" xfId="2" applyFont="1" applyFill="1" applyBorder="1" applyAlignment="1" applyProtection="1">
      <alignment horizontal="left"/>
      <protection locked="0"/>
    </xf>
    <xf numFmtId="0" fontId="5" fillId="12" borderId="159" xfId="2" applyFont="1" applyFill="1" applyBorder="1" applyAlignment="1" applyProtection="1">
      <alignment horizontal="center" vertical="center"/>
    </xf>
    <xf numFmtId="0" fontId="5" fillId="12" borderId="160" xfId="2" applyNumberFormat="1" applyFont="1" applyFill="1" applyBorder="1" applyAlignment="1" applyProtection="1">
      <alignment horizontal="center" vertical="center"/>
    </xf>
    <xf numFmtId="0" fontId="5" fillId="12" borderId="161" xfId="2" applyFont="1" applyFill="1" applyBorder="1" applyAlignment="1" applyProtection="1">
      <alignment horizontal="center" vertical="center"/>
    </xf>
    <xf numFmtId="190" fontId="5" fillId="12" borderId="160" xfId="2" applyNumberFormat="1" applyFont="1" applyFill="1" applyBorder="1" applyAlignment="1" applyProtection="1">
      <alignment vertical="center"/>
    </xf>
    <xf numFmtId="0" fontId="5" fillId="12" borderId="162" xfId="2" applyFont="1" applyFill="1" applyBorder="1" applyAlignment="1" applyProtection="1">
      <alignment horizontal="center" vertical="center"/>
    </xf>
    <xf numFmtId="191" fontId="5" fillId="12" borderId="160" xfId="2" applyNumberFormat="1" applyFont="1" applyFill="1" applyBorder="1" applyAlignment="1" applyProtection="1">
      <alignment vertical="center"/>
      <protection locked="0"/>
    </xf>
    <xf numFmtId="0" fontId="5" fillId="12" borderId="163" xfId="2" applyFont="1" applyFill="1" applyBorder="1" applyAlignment="1" applyProtection="1">
      <alignment horizontal="center" vertical="center" shrinkToFit="1"/>
    </xf>
    <xf numFmtId="0" fontId="5" fillId="12" borderId="164" xfId="2" applyFont="1" applyFill="1" applyBorder="1" applyAlignment="1" applyProtection="1">
      <alignment horizontal="center" vertical="center" shrinkToFit="1"/>
    </xf>
    <xf numFmtId="192" fontId="5" fillId="12" borderId="165" xfId="2" applyNumberFormat="1" applyFont="1" applyFill="1" applyBorder="1" applyAlignment="1" applyProtection="1">
      <alignment vertical="center"/>
      <protection locked="0"/>
    </xf>
    <xf numFmtId="192" fontId="5" fillId="12" borderId="160" xfId="2" applyNumberFormat="1" applyFont="1" applyFill="1" applyBorder="1" applyAlignment="1" applyProtection="1">
      <alignment vertical="center"/>
      <protection locked="0"/>
    </xf>
    <xf numFmtId="193" fontId="5" fillId="12" borderId="166" xfId="2" applyNumberFormat="1" applyFont="1" applyFill="1" applyBorder="1" applyAlignment="1" applyProtection="1">
      <alignment vertical="center" shrinkToFit="1"/>
      <protection locked="0"/>
    </xf>
    <xf numFmtId="193" fontId="5" fillId="12" borderId="160" xfId="2" applyNumberFormat="1" applyFont="1" applyFill="1" applyBorder="1" applyAlignment="1" applyProtection="1">
      <alignment vertical="center" shrinkToFit="1"/>
      <protection locked="0"/>
    </xf>
    <xf numFmtId="194" fontId="5" fillId="12" borderId="167" xfId="2" applyNumberFormat="1" applyFont="1" applyFill="1" applyBorder="1" applyAlignment="1" applyProtection="1">
      <alignment horizontal="center" vertical="center" shrinkToFit="1"/>
      <protection locked="0"/>
    </xf>
    <xf numFmtId="195" fontId="5" fillId="12" borderId="167" xfId="2" applyNumberFormat="1" applyFont="1" applyFill="1" applyBorder="1" applyAlignment="1" applyProtection="1">
      <alignment horizontal="center" vertical="center" shrinkToFit="1"/>
      <protection locked="0"/>
    </xf>
    <xf numFmtId="196" fontId="5" fillId="12" borderId="45" xfId="2" applyNumberFormat="1" applyFont="1" applyFill="1" applyBorder="1" applyAlignment="1" applyProtection="1">
      <alignment horizontal="center" vertical="center" shrinkToFit="1"/>
      <protection locked="0"/>
    </xf>
    <xf numFmtId="197" fontId="5" fillId="12" borderId="160" xfId="2" applyNumberFormat="1" applyFont="1" applyFill="1" applyBorder="1" applyAlignment="1" applyProtection="1">
      <alignment horizontal="center" vertical="center" shrinkToFit="1"/>
      <protection locked="0"/>
    </xf>
    <xf numFmtId="189" fontId="5" fillId="12" borderId="166" xfId="2" applyNumberFormat="1" applyFont="1" applyFill="1" applyBorder="1" applyAlignment="1" applyProtection="1">
      <alignment horizontal="center" vertical="center" shrinkToFit="1"/>
    </xf>
    <xf numFmtId="189" fontId="5" fillId="12" borderId="56" xfId="2" applyNumberFormat="1" applyFont="1" applyFill="1" applyBorder="1" applyAlignment="1" applyProtection="1">
      <alignment horizontal="center" vertical="center" shrinkToFit="1"/>
    </xf>
    <xf numFmtId="189" fontId="5" fillId="12" borderId="57" xfId="2" applyNumberFormat="1" applyFont="1" applyFill="1" applyBorder="1" applyAlignment="1" applyProtection="1">
      <alignment horizontal="center" vertical="center" shrinkToFit="1"/>
    </xf>
    <xf numFmtId="198" fontId="5" fillId="0" borderId="0" xfId="2" applyNumberFormat="1" applyFont="1" applyFill="1" applyBorder="1" applyAlignment="1" applyProtection="1">
      <alignment horizontal="center" shrinkToFit="1"/>
      <protection locked="0"/>
    </xf>
    <xf numFmtId="0" fontId="5" fillId="0" borderId="0" xfId="2" applyFont="1" applyFill="1" applyBorder="1" applyAlignment="1" applyProtection="1">
      <alignment vertical="center" shrinkToFit="1"/>
      <protection locked="0"/>
    </xf>
    <xf numFmtId="0" fontId="5" fillId="0" borderId="0" xfId="2" applyFont="1" applyFill="1" applyBorder="1" applyAlignment="1" applyProtection="1">
      <alignment vertical="center" shrinkToFit="1"/>
    </xf>
    <xf numFmtId="199" fontId="5" fillId="0" borderId="0" xfId="2" applyNumberFormat="1" applyFont="1" applyFill="1" applyBorder="1" applyAlignment="1" applyProtection="1">
      <alignment vertical="center"/>
    </xf>
    <xf numFmtId="177" fontId="5" fillId="0" borderId="134" xfId="2" applyNumberFormat="1" applyFont="1" applyFill="1" applyBorder="1" applyAlignment="1" applyProtection="1">
      <alignment horizontal="center"/>
    </xf>
    <xf numFmtId="0" fontId="5" fillId="0" borderId="0" xfId="2" applyFont="1" applyFill="1" applyBorder="1" applyAlignment="1" applyProtection="1">
      <alignment horizontal="left" indent="1"/>
    </xf>
    <xf numFmtId="0" fontId="5" fillId="0" borderId="0" xfId="2" applyFont="1" applyFill="1" applyBorder="1" applyProtection="1"/>
    <xf numFmtId="0" fontId="5" fillId="0" borderId="168" xfId="2" applyFont="1" applyFill="1" applyBorder="1" applyAlignment="1" applyProtection="1">
      <alignment horizontal="right" shrinkToFit="1"/>
    </xf>
    <xf numFmtId="200" fontId="5" fillId="0" borderId="168" xfId="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77" fontId="5" fillId="0" borderId="0" xfId="2" applyNumberFormat="1" applyFont="1" applyFill="1" applyBorder="1" applyProtection="1"/>
    <xf numFmtId="0" fontId="5" fillId="0" borderId="0" xfId="2" applyFont="1" applyFill="1" applyBorder="1" applyAlignment="1" applyProtection="1">
      <alignment horizontal="right"/>
    </xf>
    <xf numFmtId="200" fontId="5" fillId="0" borderId="0" xfId="2" applyNumberFormat="1" applyFont="1" applyFill="1" applyBorder="1" applyAlignment="1" applyProtection="1">
      <alignment horizontal="left"/>
    </xf>
    <xf numFmtId="3" fontId="5" fillId="0" borderId="0" xfId="12" applyNumberFormat="1" applyFont="1" applyFill="1" applyBorder="1" applyProtection="1"/>
    <xf numFmtId="177" fontId="5" fillId="0" borderId="0" xfId="2" applyNumberFormat="1" applyFont="1" applyFill="1" applyBorder="1" applyAlignment="1" applyProtection="1">
      <alignment horizontal="right"/>
    </xf>
    <xf numFmtId="201" fontId="5" fillId="0" borderId="0" xfId="1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99" fontId="5" fillId="0" borderId="0" xfId="2" applyNumberFormat="1" applyFont="1" applyFill="1" applyBorder="1" applyAlignment="1" applyProtection="1">
      <alignment horizontal="right"/>
    </xf>
    <xf numFmtId="0" fontId="5" fillId="0" borderId="169" xfId="2" applyFont="1" applyFill="1" applyBorder="1" applyAlignment="1" applyProtection="1">
      <alignment horizontal="right"/>
    </xf>
    <xf numFmtId="0" fontId="13" fillId="5" borderId="21" xfId="4" applyFont="1" applyFill="1" applyBorder="1" applyAlignment="1">
      <alignment horizontal="center" vertical="center"/>
    </xf>
    <xf numFmtId="0" fontId="5" fillId="0" borderId="134" xfId="2" applyFont="1" applyFill="1" applyBorder="1" applyAlignment="1" applyProtection="1">
      <alignment horizontal="right"/>
    </xf>
    <xf numFmtId="0" fontId="13" fillId="6" borderId="21" xfId="4" applyFont="1" applyFill="1" applyBorder="1" applyAlignment="1">
      <alignment horizontal="center" vertical="center"/>
    </xf>
    <xf numFmtId="202" fontId="5" fillId="0" borderId="0" xfId="2" applyNumberFormat="1" applyFont="1" applyFill="1" applyBorder="1" applyAlignment="1" applyProtection="1">
      <alignment vertical="center"/>
    </xf>
    <xf numFmtId="199" fontId="5" fillId="0" borderId="0" xfId="2" applyNumberFormat="1" applyFont="1" applyFill="1" applyBorder="1" applyAlignment="1" applyProtection="1">
      <alignment vertical="center"/>
    </xf>
    <xf numFmtId="203" fontId="5" fillId="0" borderId="0" xfId="2" applyNumberFormat="1" applyFont="1" applyFill="1" applyBorder="1" applyAlignment="1" applyProtection="1">
      <alignment horizontal="left" vertical="center"/>
    </xf>
    <xf numFmtId="202" fontId="5" fillId="0" borderId="0" xfId="2" applyNumberFormat="1" applyFont="1" applyFill="1" applyBorder="1" applyAlignment="1" applyProtection="1">
      <alignment vertical="center"/>
      <protection locked="0"/>
    </xf>
    <xf numFmtId="202" fontId="5" fillId="0" borderId="134" xfId="2" applyNumberFormat="1" applyFont="1" applyFill="1" applyBorder="1" applyAlignment="1" applyProtection="1"/>
    <xf numFmtId="0" fontId="14" fillId="3" borderId="170" xfId="2" applyFont="1" applyFill="1" applyBorder="1" applyAlignment="1" applyProtection="1">
      <alignment horizontal="left" vertical="center" wrapText="1" indent="1"/>
      <protection locked="0"/>
    </xf>
    <xf numFmtId="0" fontId="14" fillId="3" borderId="171" xfId="2" applyFont="1" applyFill="1" applyBorder="1" applyAlignment="1" applyProtection="1">
      <alignment horizontal="left" vertical="center" wrapText="1" indent="1"/>
      <protection locked="0"/>
    </xf>
    <xf numFmtId="0" fontId="14" fillId="3" borderId="172" xfId="2" applyFont="1" applyFill="1" applyBorder="1" applyAlignment="1" applyProtection="1">
      <alignment horizontal="left" vertical="center" wrapText="1" indent="1"/>
      <protection locked="0"/>
    </xf>
    <xf numFmtId="177" fontId="5" fillId="3" borderId="173" xfId="2" applyNumberFormat="1" applyFont="1" applyFill="1" applyBorder="1" applyAlignment="1" applyProtection="1">
      <alignment horizontal="center" vertical="center"/>
    </xf>
    <xf numFmtId="177" fontId="5" fillId="3" borderId="174" xfId="2" applyNumberFormat="1" applyFont="1" applyFill="1" applyBorder="1" applyAlignment="1" applyProtection="1">
      <alignment horizontal="center" vertical="center"/>
    </xf>
    <xf numFmtId="177" fontId="5" fillId="3" borderId="175" xfId="2" applyNumberFormat="1" applyFont="1" applyFill="1" applyBorder="1" applyAlignment="1" applyProtection="1">
      <alignment horizontal="center" vertical="center"/>
    </xf>
    <xf numFmtId="177" fontId="5" fillId="3" borderId="173" xfId="2" applyNumberFormat="1" applyFont="1" applyFill="1" applyBorder="1" applyAlignment="1" applyProtection="1">
      <alignment horizontal="centerContinuous" vertical="center"/>
    </xf>
    <xf numFmtId="177" fontId="5" fillId="3" borderId="174" xfId="2" applyNumberFormat="1" applyFont="1" applyFill="1" applyBorder="1" applyAlignment="1" applyProtection="1">
      <alignment horizontal="centerContinuous" vertical="center"/>
    </xf>
    <xf numFmtId="177" fontId="5" fillId="3" borderId="176" xfId="2" applyNumberFormat="1" applyFont="1" applyFill="1" applyBorder="1" applyAlignment="1" applyProtection="1">
      <alignment horizontal="center" vertical="center"/>
    </xf>
    <xf numFmtId="177" fontId="5" fillId="3" borderId="171" xfId="2" applyNumberFormat="1" applyFont="1" applyFill="1" applyBorder="1" applyAlignment="1" applyProtection="1">
      <alignment horizontal="center" vertical="center"/>
    </xf>
    <xf numFmtId="177" fontId="5" fillId="3" borderId="177" xfId="2" applyNumberFormat="1" applyFont="1" applyFill="1" applyBorder="1" applyAlignment="1" applyProtection="1">
      <alignment horizontal="center" vertical="center"/>
    </xf>
    <xf numFmtId="204" fontId="5" fillId="0" borderId="0" xfId="2" applyNumberFormat="1" applyFont="1" applyFill="1" applyBorder="1" applyAlignment="1" applyProtection="1">
      <alignment horizontal="right" shrinkToFit="1"/>
    </xf>
    <xf numFmtId="0" fontId="5" fillId="0" borderId="0" xfId="2" applyNumberFormat="1" applyFont="1" applyFill="1" applyBorder="1" applyAlignment="1" applyProtection="1">
      <alignment vertical="center"/>
    </xf>
    <xf numFmtId="0" fontId="10" fillId="0" borderId="0" xfId="3" applyNumberFormat="1" applyAlignment="1">
      <alignment vertical="center"/>
    </xf>
    <xf numFmtId="0" fontId="10" fillId="0" borderId="0" xfId="3" applyNumberFormat="1" applyFill="1" applyAlignment="1">
      <alignment vertical="center"/>
    </xf>
    <xf numFmtId="3" fontId="5" fillId="0" borderId="133" xfId="12" applyNumberFormat="1" applyFont="1" applyFill="1" applyBorder="1" applyAlignment="1" applyProtection="1">
      <alignment horizontal="center" vertical="center" shrinkToFit="1"/>
    </xf>
    <xf numFmtId="2" fontId="5" fillId="0" borderId="0" xfId="2" applyNumberFormat="1" applyFont="1" applyFill="1" applyBorder="1" applyAlignment="1" applyProtection="1">
      <protection locked="0"/>
    </xf>
    <xf numFmtId="0" fontId="14" fillId="3" borderId="97" xfId="2" applyFont="1" applyFill="1" applyBorder="1" applyAlignment="1" applyProtection="1">
      <alignment horizontal="left" vertical="center" wrapText="1" indent="1"/>
      <protection locked="0"/>
    </xf>
    <xf numFmtId="0" fontId="14" fillId="3" borderId="56" xfId="2" applyFont="1" applyFill="1" applyBorder="1" applyAlignment="1" applyProtection="1">
      <alignment horizontal="left" vertical="center" wrapText="1" indent="1"/>
      <protection locked="0"/>
    </xf>
    <xf numFmtId="0" fontId="14" fillId="3" borderId="178" xfId="2" applyFont="1" applyFill="1" applyBorder="1" applyAlignment="1" applyProtection="1">
      <alignment horizontal="left" vertical="center" wrapText="1" indent="1"/>
      <protection locked="0"/>
    </xf>
    <xf numFmtId="183" fontId="5" fillId="13" borderId="179" xfId="2" applyNumberFormat="1" applyFont="1" applyFill="1" applyBorder="1" applyAlignment="1" applyProtection="1">
      <alignment horizontal="centerContinuous"/>
      <protection locked="0"/>
    </xf>
    <xf numFmtId="183" fontId="5" fillId="13" borderId="0" xfId="2" applyNumberFormat="1" applyFont="1" applyFill="1" applyBorder="1" applyAlignment="1" applyProtection="1">
      <alignment horizontal="centerContinuous"/>
    </xf>
    <xf numFmtId="183" fontId="5" fillId="13" borderId="180" xfId="2" applyNumberFormat="1" applyFont="1" applyFill="1" applyBorder="1" applyAlignment="1" applyProtection="1">
      <alignment horizontal="centerContinuous"/>
      <protection locked="0"/>
    </xf>
    <xf numFmtId="183" fontId="5" fillId="13" borderId="38" xfId="2" applyNumberFormat="1" applyFont="1" applyFill="1" applyBorder="1" applyAlignment="1" applyProtection="1">
      <alignment horizontal="centerContinuous"/>
    </xf>
    <xf numFmtId="183" fontId="5" fillId="14" borderId="179" xfId="2" applyNumberFormat="1" applyFont="1" applyFill="1" applyBorder="1" applyAlignment="1" applyProtection="1">
      <alignment horizontal="centerContinuous"/>
      <protection locked="0"/>
    </xf>
    <xf numFmtId="183" fontId="5" fillId="14" borderId="0" xfId="2" applyNumberFormat="1" applyFont="1" applyFill="1" applyBorder="1" applyAlignment="1" applyProtection="1">
      <alignment horizontal="centerContinuous"/>
    </xf>
    <xf numFmtId="183" fontId="5" fillId="14" borderId="180" xfId="2" applyNumberFormat="1" applyFont="1" applyFill="1" applyBorder="1" applyAlignment="1" applyProtection="1">
      <alignment horizontal="centerContinuous"/>
      <protection locked="0"/>
    </xf>
    <xf numFmtId="183" fontId="5" fillId="14" borderId="38" xfId="2" applyNumberFormat="1" applyFont="1" applyFill="1" applyBorder="1" applyAlignment="1" applyProtection="1">
      <alignment horizontal="centerContinuous"/>
    </xf>
    <xf numFmtId="183" fontId="5" fillId="15" borderId="179" xfId="2" applyNumberFormat="1" applyFont="1" applyFill="1" applyBorder="1" applyAlignment="1" applyProtection="1">
      <alignment horizontal="centerContinuous"/>
      <protection locked="0"/>
    </xf>
    <xf numFmtId="183" fontId="5" fillId="15" borderId="0" xfId="2" applyNumberFormat="1" applyFont="1" applyFill="1" applyBorder="1" applyAlignment="1" applyProtection="1">
      <alignment horizontal="centerContinuous"/>
    </xf>
    <xf numFmtId="183" fontId="5" fillId="15" borderId="180" xfId="2" applyNumberFormat="1" applyFont="1" applyFill="1" applyBorder="1" applyAlignment="1" applyProtection="1">
      <alignment horizontal="centerContinuous"/>
      <protection locked="0"/>
    </xf>
    <xf numFmtId="183" fontId="5" fillId="15" borderId="38" xfId="2" applyNumberFormat="1" applyFont="1" applyFill="1" applyBorder="1" applyAlignment="1" applyProtection="1">
      <alignment horizontal="centerContinuous"/>
    </xf>
    <xf numFmtId="202" fontId="5" fillId="16" borderId="181" xfId="2" applyNumberFormat="1" applyFont="1" applyFill="1" applyBorder="1" applyAlignment="1" applyProtection="1">
      <alignment horizontal="centerContinuous" vertical="center"/>
      <protection locked="0"/>
    </xf>
    <xf numFmtId="202" fontId="5" fillId="16" borderId="182" xfId="2" applyNumberFormat="1" applyFont="1" applyFill="1" applyBorder="1" applyAlignment="1" applyProtection="1">
      <alignment horizontal="centerContinuous" vertical="center"/>
      <protection locked="0"/>
    </xf>
    <xf numFmtId="202" fontId="5" fillId="16" borderId="183" xfId="2" applyNumberFormat="1" applyFont="1" applyFill="1" applyBorder="1" applyAlignment="1" applyProtection="1">
      <alignment horizontal="centerContinuous" vertical="center"/>
      <protection locked="0"/>
    </xf>
    <xf numFmtId="202" fontId="5" fillId="17" borderId="184" xfId="2" applyNumberFormat="1" applyFont="1" applyFill="1" applyBorder="1" applyAlignment="1" applyProtection="1">
      <alignment horizontal="centerContinuous" vertical="center"/>
      <protection locked="0"/>
    </xf>
    <xf numFmtId="202" fontId="5" fillId="17" borderId="182" xfId="2" applyNumberFormat="1" applyFont="1" applyFill="1" applyBorder="1" applyAlignment="1" applyProtection="1">
      <alignment horizontal="centerContinuous" vertical="center"/>
      <protection locked="0"/>
    </xf>
    <xf numFmtId="177" fontId="5" fillId="3" borderId="179" xfId="2" applyNumberFormat="1" applyFont="1" applyFill="1" applyBorder="1" applyAlignment="1" applyProtection="1">
      <alignment horizontal="center" vertical="center"/>
    </xf>
    <xf numFmtId="177" fontId="5" fillId="3" borderId="0" xfId="2" applyNumberFormat="1" applyFont="1" applyFill="1" applyBorder="1" applyAlignment="1" applyProtection="1">
      <alignment horizontal="center" vertical="center"/>
    </xf>
    <xf numFmtId="177" fontId="5" fillId="3" borderId="38" xfId="2" applyNumberFormat="1" applyFont="1" applyFill="1" applyBorder="1" applyAlignment="1" applyProtection="1">
      <alignment horizontal="center" vertical="center"/>
    </xf>
    <xf numFmtId="202" fontId="18" fillId="0" borderId="0" xfId="2" applyNumberFormat="1" applyFont="1" applyFill="1" applyBorder="1" applyAlignment="1" applyProtection="1">
      <alignment vertical="center"/>
    </xf>
    <xf numFmtId="204" fontId="5" fillId="0" borderId="0" xfId="2" applyNumberFormat="1" applyFont="1" applyFill="1" applyBorder="1" applyAlignment="1" applyProtection="1">
      <alignment vertical="center"/>
    </xf>
    <xf numFmtId="193" fontId="5" fillId="0" borderId="0" xfId="12" applyNumberFormat="1" applyFont="1" applyFill="1" applyBorder="1" applyAlignment="1" applyProtection="1">
      <alignment vertical="center"/>
    </xf>
    <xf numFmtId="0" fontId="5" fillId="0" borderId="0" xfId="2" applyFont="1" applyAlignment="1" applyProtection="1">
      <alignment horizontal="center"/>
      <protection locked="0"/>
    </xf>
    <xf numFmtId="0" fontId="5" fillId="18" borderId="96" xfId="2" applyFont="1" applyFill="1" applyBorder="1" applyAlignment="1" applyProtection="1">
      <alignment horizontal="center" vertical="center" textRotation="255" shrinkToFit="1"/>
    </xf>
    <xf numFmtId="0" fontId="5" fillId="3" borderId="101" xfId="2" applyFont="1" applyFill="1" applyBorder="1" applyAlignment="1" applyProtection="1">
      <alignment horizontal="center" vertical="center" shrinkToFit="1"/>
    </xf>
    <xf numFmtId="0" fontId="5" fillId="3" borderId="102" xfId="2" applyFont="1" applyFill="1" applyBorder="1" applyAlignment="1" applyProtection="1">
      <alignment horizontal="center" vertical="center" shrinkToFit="1"/>
    </xf>
    <xf numFmtId="0" fontId="5" fillId="3" borderId="185" xfId="2" applyFont="1" applyFill="1" applyBorder="1" applyAlignment="1" applyProtection="1">
      <alignment horizontal="center" vertical="center" shrinkToFit="1"/>
    </xf>
    <xf numFmtId="0" fontId="5" fillId="3" borderId="61" xfId="2" applyFont="1" applyFill="1" applyBorder="1" applyAlignment="1" applyProtection="1">
      <alignment horizontal="center" vertical="center" shrinkToFit="1"/>
    </xf>
    <xf numFmtId="177" fontId="5" fillId="3" borderId="186" xfId="2" applyNumberFormat="1" applyFont="1" applyFill="1" applyBorder="1" applyAlignment="1" applyProtection="1">
      <alignment horizontal="center" vertical="center" wrapText="1" shrinkToFit="1"/>
    </xf>
    <xf numFmtId="3" fontId="5" fillId="3" borderId="61" xfId="12" applyNumberFormat="1" applyFont="1" applyFill="1" applyBorder="1" applyAlignment="1" applyProtection="1">
      <alignment horizontal="center" vertical="center" shrinkToFit="1"/>
    </xf>
    <xf numFmtId="177" fontId="5" fillId="3" borderId="187" xfId="2" applyNumberFormat="1" applyFont="1" applyFill="1" applyBorder="1" applyAlignment="1" applyProtection="1">
      <alignment horizontal="center" vertical="center" wrapText="1" shrinkToFit="1"/>
    </xf>
    <xf numFmtId="3" fontId="5" fillId="3" borderId="31" xfId="12" applyNumberFormat="1" applyFont="1" applyFill="1" applyBorder="1" applyAlignment="1" applyProtection="1">
      <alignment horizontal="center" vertical="center" shrinkToFit="1"/>
    </xf>
    <xf numFmtId="3" fontId="5" fillId="0" borderId="134" xfId="12" applyNumberFormat="1" applyFont="1" applyFill="1" applyBorder="1" applyAlignment="1" applyProtection="1">
      <alignment horizontal="center" vertical="center" shrinkToFit="1"/>
    </xf>
    <xf numFmtId="0" fontId="5" fillId="18" borderId="58" xfId="2" applyFont="1" applyFill="1" applyBorder="1" applyAlignment="1" applyProtection="1">
      <alignment horizontal="center" vertical="center" textRotation="255" shrinkToFit="1"/>
    </xf>
    <xf numFmtId="183" fontId="5" fillId="3" borderId="186" xfId="2" applyNumberFormat="1" applyFont="1" applyFill="1" applyBorder="1" applyAlignment="1" applyProtection="1">
      <alignment horizontal="center" vertical="center" wrapText="1" shrinkToFit="1"/>
    </xf>
    <xf numFmtId="177" fontId="5" fillId="3" borderId="102" xfId="2" applyNumberFormat="1" applyFont="1" applyFill="1" applyBorder="1" applyAlignment="1" applyProtection="1">
      <alignment horizontal="center" vertical="center" shrinkToFit="1"/>
    </xf>
    <xf numFmtId="183" fontId="5" fillId="3" borderId="187" xfId="2" applyNumberFormat="1" applyFont="1" applyFill="1" applyBorder="1" applyAlignment="1" applyProtection="1">
      <alignment horizontal="center" vertical="center" wrapText="1" shrinkToFit="1"/>
    </xf>
    <xf numFmtId="177" fontId="5" fillId="3" borderId="56" xfId="2" applyNumberFormat="1" applyFont="1" applyFill="1" applyBorder="1" applyAlignment="1" applyProtection="1">
      <alignment horizontal="center" vertical="center"/>
    </xf>
    <xf numFmtId="177" fontId="5" fillId="3" borderId="5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wrapText="1"/>
    </xf>
    <xf numFmtId="205" fontId="5" fillId="0" borderId="0" xfId="12" applyNumberFormat="1" applyFont="1" applyFill="1" applyBorder="1" applyAlignment="1" applyProtection="1">
      <alignment vertical="center"/>
    </xf>
    <xf numFmtId="204" fontId="5" fillId="0" borderId="0" xfId="2" applyNumberFormat="1" applyFont="1" applyFill="1" applyBorder="1" applyAlignment="1" applyProtection="1">
      <alignment horizontal="center" vertical="center" shrinkToFit="1"/>
    </xf>
    <xf numFmtId="205" fontId="5" fillId="0" borderId="0" xfId="2" applyNumberFormat="1" applyFont="1" applyFill="1" applyBorder="1" applyAlignment="1" applyProtection="1">
      <alignment vertical="center"/>
      <protection locked="0"/>
    </xf>
    <xf numFmtId="0" fontId="5" fillId="18" borderId="36" xfId="2" applyFont="1" applyFill="1" applyBorder="1" applyAlignment="1" applyProtection="1">
      <alignment horizontal="center" vertical="center" textRotation="255" shrinkToFit="1"/>
    </xf>
    <xf numFmtId="0" fontId="5" fillId="0" borderId="188" xfId="2" applyNumberFormat="1" applyFont="1" applyFill="1" applyBorder="1" applyAlignment="1" applyProtection="1">
      <alignment horizontal="center"/>
    </xf>
    <xf numFmtId="0" fontId="5" fillId="0" borderId="189" xfId="2" applyNumberFormat="1" applyFont="1" applyFill="1" applyBorder="1" applyAlignment="1" applyProtection="1">
      <alignment horizontal="center"/>
    </xf>
    <xf numFmtId="206" fontId="5" fillId="0" borderId="190" xfId="2" applyNumberFormat="1" applyFont="1" applyFill="1" applyBorder="1" applyProtection="1"/>
    <xf numFmtId="204" fontId="5" fillId="0" borderId="191" xfId="2" applyNumberFormat="1" applyFont="1" applyFill="1" applyBorder="1" applyAlignment="1" applyProtection="1">
      <alignment horizontal="right" shrinkToFit="1"/>
    </xf>
    <xf numFmtId="193" fontId="5" fillId="0" borderId="149" xfId="12" applyNumberFormat="1" applyFont="1" applyFill="1" applyBorder="1" applyAlignment="1" applyProtection="1">
      <alignment horizontal="right" shrinkToFit="1"/>
    </xf>
    <xf numFmtId="204" fontId="5" fillId="0" borderId="128" xfId="2" applyNumberFormat="1" applyFont="1" applyFill="1" applyBorder="1" applyAlignment="1" applyProtection="1">
      <alignment horizontal="right" shrinkToFit="1"/>
    </xf>
    <xf numFmtId="193" fontId="5" fillId="0" borderId="189" xfId="12" applyNumberFormat="1" applyFont="1" applyFill="1" applyBorder="1" applyAlignment="1" applyProtection="1">
      <alignment horizontal="right" shrinkToFit="1"/>
    </xf>
    <xf numFmtId="204" fontId="5" fillId="0" borderId="192" xfId="2" applyNumberFormat="1" applyFont="1" applyFill="1" applyBorder="1" applyAlignment="1" applyProtection="1">
      <alignment horizontal="right" shrinkToFit="1"/>
    </xf>
    <xf numFmtId="193" fontId="5" fillId="0" borderId="193" xfId="12" applyNumberFormat="1" applyFont="1" applyFill="1" applyBorder="1" applyAlignment="1" applyProtection="1">
      <alignment horizontal="right" shrinkToFit="1"/>
    </xf>
    <xf numFmtId="193" fontId="5" fillId="0" borderId="133" xfId="12" applyNumberFormat="1" applyFont="1" applyFill="1" applyBorder="1" applyAlignment="1" applyProtection="1">
      <alignment horizontal="right" shrinkToFit="1"/>
    </xf>
    <xf numFmtId="193" fontId="5" fillId="0" borderId="134"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shrinkToFit="1"/>
    </xf>
    <xf numFmtId="183" fontId="5" fillId="0" borderId="191" xfId="2" applyNumberFormat="1" applyFont="1" applyFill="1" applyBorder="1" applyAlignment="1" applyProtection="1">
      <alignment horizontal="right" shrinkToFit="1"/>
    </xf>
    <xf numFmtId="183" fontId="5" fillId="0" borderId="128" xfId="2" applyNumberFormat="1" applyFont="1" applyFill="1" applyBorder="1" applyAlignment="1" applyProtection="1">
      <alignment horizontal="right" shrinkToFit="1"/>
    </xf>
    <xf numFmtId="193" fontId="5" fillId="0" borderId="194" xfId="12" applyNumberFormat="1" applyFont="1" applyFill="1" applyBorder="1" applyAlignment="1" applyProtection="1">
      <alignment horizontal="right" shrinkToFit="1"/>
    </xf>
    <xf numFmtId="202" fontId="5" fillId="13" borderId="195" xfId="2" applyNumberFormat="1" applyFont="1" applyFill="1" applyBorder="1" applyAlignment="1" applyProtection="1">
      <alignment horizontal="center" vertical="center" wrapText="1"/>
      <protection locked="0"/>
    </xf>
    <xf numFmtId="202" fontId="5" fillId="13" borderId="196" xfId="2" applyNumberFormat="1" applyFont="1" applyFill="1" applyBorder="1" applyAlignment="1" applyProtection="1">
      <alignment horizontal="center" vertical="center" wrapText="1"/>
      <protection locked="0"/>
    </xf>
    <xf numFmtId="202" fontId="5" fillId="14" borderId="197" xfId="2" applyNumberFormat="1" applyFont="1" applyFill="1" applyBorder="1" applyAlignment="1" applyProtection="1">
      <alignment horizontal="center" vertical="center" wrapText="1"/>
      <protection locked="0"/>
    </xf>
    <xf numFmtId="202" fontId="5" fillId="14" borderId="196" xfId="2" applyNumberFormat="1" applyFont="1" applyFill="1" applyBorder="1" applyAlignment="1" applyProtection="1">
      <alignment horizontal="center" vertical="center" wrapText="1"/>
      <protection locked="0"/>
    </xf>
    <xf numFmtId="202" fontId="5" fillId="15" borderId="197" xfId="2" applyNumberFormat="1" applyFont="1" applyFill="1" applyBorder="1" applyAlignment="1" applyProtection="1">
      <alignment horizontal="center" vertical="center" wrapText="1"/>
      <protection locked="0"/>
    </xf>
    <xf numFmtId="202" fontId="5" fillId="15" borderId="196" xfId="2" applyNumberFormat="1" applyFont="1" applyFill="1" applyBorder="1" applyAlignment="1" applyProtection="1">
      <alignment horizontal="center" vertical="center" wrapText="1"/>
      <protection locked="0"/>
    </xf>
    <xf numFmtId="202" fontId="18" fillId="19" borderId="197" xfId="2" applyNumberFormat="1" applyFont="1" applyFill="1" applyBorder="1" applyAlignment="1" applyProtection="1">
      <alignment horizontal="center" vertical="center" wrapText="1"/>
      <protection locked="0"/>
    </xf>
    <xf numFmtId="202" fontId="18" fillId="19" borderId="196" xfId="2" applyNumberFormat="1" applyFont="1" applyFill="1" applyBorder="1" applyAlignment="1" applyProtection="1">
      <alignment horizontal="center" vertical="center" wrapText="1"/>
      <protection locked="0"/>
    </xf>
    <xf numFmtId="202" fontId="18" fillId="19" borderId="198" xfId="2" applyNumberFormat="1" applyFont="1" applyFill="1" applyBorder="1" applyAlignment="1" applyProtection="1">
      <alignment horizontal="center" vertical="center" wrapText="1"/>
      <protection locked="0"/>
    </xf>
    <xf numFmtId="202" fontId="18" fillId="19" borderId="125" xfId="2" applyNumberFormat="1" applyFont="1" applyFill="1" applyBorder="1" applyAlignment="1" applyProtection="1">
      <alignment horizontal="center" vertical="center" wrapText="1"/>
      <protection locked="0"/>
    </xf>
    <xf numFmtId="0" fontId="5" fillId="0" borderId="0" xfId="12" applyNumberFormat="1" applyFont="1" applyFill="1" applyBorder="1" applyAlignment="1" applyProtection="1">
      <alignment vertical="center"/>
    </xf>
    <xf numFmtId="0" fontId="5" fillId="0" borderId="0" xfId="2" applyNumberFormat="1" applyFont="1" applyFill="1" applyBorder="1" applyAlignment="1" applyProtection="1">
      <alignment vertical="center"/>
      <protection locked="0"/>
    </xf>
    <xf numFmtId="3" fontId="5" fillId="0" borderId="0" xfId="12" applyNumberFormat="1" applyFont="1" applyFill="1" applyBorder="1" applyAlignment="1" applyProtection="1">
      <alignment vertical="center"/>
    </xf>
    <xf numFmtId="0" fontId="5" fillId="0" borderId="199" xfId="2" applyNumberFormat="1" applyFont="1" applyFill="1" applyBorder="1" applyAlignment="1" applyProtection="1">
      <alignment horizontal="center"/>
    </xf>
    <xf numFmtId="0" fontId="5" fillId="0" borderId="79" xfId="2" applyNumberFormat="1" applyFont="1" applyFill="1" applyBorder="1" applyAlignment="1" applyProtection="1">
      <alignment horizontal="center"/>
    </xf>
    <xf numFmtId="206" fontId="5" fillId="0" borderId="200" xfId="2" applyNumberFormat="1" applyFont="1" applyFill="1" applyBorder="1" applyProtection="1"/>
    <xf numFmtId="204" fontId="5" fillId="0" borderId="201" xfId="2" applyNumberFormat="1" applyFont="1" applyFill="1" applyBorder="1" applyAlignment="1" applyProtection="1">
      <alignment horizontal="right" shrinkToFit="1"/>
    </xf>
    <xf numFmtId="193" fontId="5" fillId="0" borderId="202" xfId="12" applyNumberFormat="1" applyFont="1" applyFill="1" applyBorder="1" applyAlignment="1" applyProtection="1">
      <alignment horizontal="right" shrinkToFit="1"/>
    </xf>
    <xf numFmtId="204" fontId="5" fillId="0" borderId="68" xfId="2" applyNumberFormat="1" applyFont="1" applyFill="1" applyBorder="1" applyAlignment="1" applyProtection="1">
      <alignment horizontal="right" shrinkToFit="1"/>
    </xf>
    <xf numFmtId="193" fontId="5" fillId="0" borderId="79" xfId="12" applyNumberFormat="1" applyFont="1" applyFill="1" applyBorder="1" applyAlignment="1" applyProtection="1">
      <alignment horizontal="right" shrinkToFit="1"/>
    </xf>
    <xf numFmtId="204" fontId="5" fillId="0" borderId="203" xfId="2" applyNumberFormat="1" applyFont="1" applyFill="1" applyBorder="1" applyAlignment="1" applyProtection="1">
      <alignment horizontal="right" shrinkToFit="1"/>
    </xf>
    <xf numFmtId="193" fontId="5" fillId="0" borderId="204"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right" shrinkToFit="1"/>
    </xf>
    <xf numFmtId="183" fontId="5" fillId="0" borderId="68" xfId="2" applyNumberFormat="1" applyFont="1" applyFill="1" applyBorder="1" applyAlignment="1" applyProtection="1">
      <alignment horizontal="right" shrinkToFit="1"/>
    </xf>
    <xf numFmtId="193" fontId="5" fillId="0" borderId="205" xfId="12" applyNumberFormat="1" applyFont="1" applyFill="1" applyBorder="1" applyAlignment="1" applyProtection="1">
      <alignment horizontal="right" shrinkToFit="1"/>
    </xf>
    <xf numFmtId="202" fontId="5" fillId="13" borderId="179" xfId="2" applyNumberFormat="1" applyFont="1" applyFill="1" applyBorder="1" applyAlignment="1" applyProtection="1">
      <alignment horizontal="center" vertical="center" wrapText="1"/>
      <protection locked="0"/>
    </xf>
    <xf numFmtId="202" fontId="5" fillId="13" borderId="206" xfId="2" applyNumberFormat="1" applyFont="1" applyFill="1" applyBorder="1" applyAlignment="1" applyProtection="1">
      <alignment horizontal="center" vertical="center" wrapText="1"/>
      <protection locked="0"/>
    </xf>
    <xf numFmtId="202" fontId="5" fillId="14" borderId="207" xfId="2" applyNumberFormat="1" applyFont="1" applyFill="1" applyBorder="1" applyAlignment="1" applyProtection="1">
      <alignment horizontal="center" vertical="center" wrapText="1"/>
      <protection locked="0"/>
    </xf>
    <xf numFmtId="202" fontId="5" fillId="14" borderId="206" xfId="2" applyNumberFormat="1" applyFont="1" applyFill="1" applyBorder="1" applyAlignment="1" applyProtection="1">
      <alignment horizontal="center" vertical="center" wrapText="1"/>
      <protection locked="0"/>
    </xf>
    <xf numFmtId="202" fontId="5" fillId="15" borderId="207" xfId="2" applyNumberFormat="1" applyFont="1" applyFill="1" applyBorder="1" applyAlignment="1" applyProtection="1">
      <alignment horizontal="center" vertical="center" wrapText="1"/>
      <protection locked="0"/>
    </xf>
    <xf numFmtId="202" fontId="5" fillId="15" borderId="206" xfId="2" applyNumberFormat="1" applyFont="1" applyFill="1" applyBorder="1" applyAlignment="1" applyProtection="1">
      <alignment horizontal="center" vertical="center" wrapText="1"/>
      <protection locked="0"/>
    </xf>
    <xf numFmtId="202" fontId="18" fillId="19" borderId="207" xfId="2" applyNumberFormat="1" applyFont="1" applyFill="1" applyBorder="1" applyAlignment="1" applyProtection="1">
      <alignment horizontal="center" vertical="center" wrapText="1"/>
      <protection locked="0"/>
    </xf>
    <xf numFmtId="202" fontId="18" fillId="19" borderId="206" xfId="2" applyNumberFormat="1" applyFont="1" applyFill="1" applyBorder="1" applyAlignment="1" applyProtection="1">
      <alignment horizontal="center" vertical="center" wrapText="1"/>
      <protection locked="0"/>
    </xf>
    <xf numFmtId="202" fontId="18" fillId="19" borderId="38" xfId="2" applyNumberFormat="1" applyFont="1" applyFill="1" applyBorder="1" applyAlignment="1" applyProtection="1">
      <alignment horizontal="center" vertical="center" wrapText="1"/>
      <protection locked="0"/>
    </xf>
    <xf numFmtId="193" fontId="5" fillId="0" borderId="0" xfId="12" applyNumberFormat="1" applyFont="1" applyFill="1" applyBorder="1" applyAlignment="1" applyProtection="1">
      <alignment vertical="center" shrinkToFit="1"/>
    </xf>
    <xf numFmtId="177" fontId="5" fillId="3" borderId="14" xfId="2" applyNumberFormat="1" applyFont="1" applyFill="1" applyBorder="1" applyAlignment="1" applyProtection="1">
      <alignment horizontal="center" vertical="center"/>
    </xf>
    <xf numFmtId="177" fontId="5" fillId="3" borderId="15" xfId="2" applyNumberFormat="1" applyFont="1" applyFill="1" applyBorder="1" applyAlignment="1" applyProtection="1">
      <alignment horizontal="center" vertical="center"/>
    </xf>
    <xf numFmtId="0" fontId="5" fillId="3" borderId="208" xfId="2" applyFont="1" applyFill="1" applyBorder="1" applyAlignment="1" applyProtection="1">
      <alignment horizontal="center" vertical="center"/>
    </xf>
    <xf numFmtId="0" fontId="5" fillId="3" borderId="6" xfId="2" applyFont="1" applyFill="1" applyBorder="1" applyAlignment="1" applyProtection="1">
      <alignment horizontal="center" vertical="center"/>
    </xf>
    <xf numFmtId="177" fontId="5" fillId="3" borderId="6" xfId="2" applyNumberFormat="1" applyFont="1" applyFill="1" applyBorder="1" applyAlignment="1" applyProtection="1">
      <alignment horizontal="center" vertical="center"/>
    </xf>
    <xf numFmtId="177" fontId="5" fillId="3" borderId="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xf>
    <xf numFmtId="0" fontId="5" fillId="3" borderId="209" xfId="2" applyFont="1" applyFill="1" applyBorder="1" applyAlignment="1" applyProtection="1">
      <alignment horizontal="center" vertical="center"/>
    </xf>
    <xf numFmtId="0" fontId="5" fillId="3" borderId="210" xfId="2" applyFont="1" applyFill="1" applyBorder="1" applyAlignment="1" applyProtection="1">
      <alignment horizontal="center" vertical="center"/>
    </xf>
    <xf numFmtId="3" fontId="5" fillId="3" borderId="6" xfId="12" applyNumberFormat="1" applyFont="1" applyFill="1" applyBorder="1" applyAlignment="1" applyProtection="1">
      <alignment horizontal="center" vertical="center"/>
    </xf>
    <xf numFmtId="177" fontId="5" fillId="3" borderId="211" xfId="2" applyNumberFormat="1" applyFont="1" applyFill="1" applyBorder="1" applyAlignment="1" applyProtection="1">
      <alignment horizontal="center" vertical="center"/>
    </xf>
    <xf numFmtId="177" fontId="5" fillId="3" borderId="35"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protection locked="0"/>
    </xf>
    <xf numFmtId="0" fontId="5" fillId="0" borderId="212" xfId="2" applyNumberFormat="1" applyFont="1" applyFill="1" applyBorder="1" applyAlignment="1" applyProtection="1">
      <alignment horizontal="center"/>
    </xf>
    <xf numFmtId="0" fontId="5" fillId="0" borderId="213" xfId="2" applyNumberFormat="1" applyFont="1" applyFill="1" applyBorder="1" applyAlignment="1" applyProtection="1">
      <alignment horizontal="center"/>
    </xf>
    <xf numFmtId="206" fontId="5" fillId="0" borderId="214" xfId="2" applyNumberFormat="1" applyFont="1" applyFill="1" applyBorder="1" applyProtection="1"/>
    <xf numFmtId="204" fontId="5" fillId="0" borderId="215" xfId="2" applyNumberFormat="1" applyFont="1" applyFill="1" applyBorder="1" applyAlignment="1" applyProtection="1">
      <alignment horizontal="right" shrinkToFit="1"/>
    </xf>
    <xf numFmtId="193" fontId="5" fillId="0" borderId="216" xfId="12" applyNumberFormat="1" applyFont="1" applyFill="1" applyBorder="1" applyAlignment="1" applyProtection="1">
      <alignment horizontal="right" shrinkToFit="1"/>
    </xf>
    <xf numFmtId="204" fontId="5" fillId="0" borderId="217" xfId="2" applyNumberFormat="1" applyFont="1" applyFill="1" applyBorder="1" applyAlignment="1" applyProtection="1">
      <alignment horizontal="right" shrinkToFit="1"/>
    </xf>
    <xf numFmtId="193" fontId="5" fillId="0" borderId="213" xfId="12" applyNumberFormat="1" applyFont="1" applyFill="1" applyBorder="1" applyAlignment="1" applyProtection="1">
      <alignment horizontal="right" shrinkToFit="1"/>
    </xf>
    <xf numFmtId="204" fontId="5" fillId="0" borderId="218" xfId="2" applyNumberFormat="1" applyFont="1" applyFill="1" applyBorder="1" applyAlignment="1" applyProtection="1">
      <alignment horizontal="right" shrinkToFit="1"/>
    </xf>
    <xf numFmtId="193" fontId="5" fillId="0" borderId="219" xfId="12" applyNumberFormat="1" applyFont="1" applyFill="1" applyBorder="1" applyAlignment="1" applyProtection="1">
      <alignment horizontal="right" shrinkToFit="1"/>
    </xf>
    <xf numFmtId="183" fontId="5" fillId="0" borderId="215" xfId="2" applyNumberFormat="1" applyFont="1" applyFill="1" applyBorder="1" applyAlignment="1" applyProtection="1">
      <alignment horizontal="right" shrinkToFit="1"/>
    </xf>
    <xf numFmtId="183" fontId="5" fillId="0" borderId="217" xfId="2" applyNumberFormat="1" applyFont="1" applyFill="1" applyBorder="1" applyAlignment="1" applyProtection="1">
      <alignment horizontal="right" shrinkToFit="1"/>
    </xf>
    <xf numFmtId="193" fontId="5" fillId="0" borderId="220" xfId="12" applyNumberFormat="1" applyFont="1" applyFill="1" applyBorder="1" applyAlignment="1" applyProtection="1">
      <alignment horizontal="right" shrinkToFit="1"/>
    </xf>
    <xf numFmtId="0" fontId="5" fillId="0" borderId="11"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221" xfId="2" applyNumberFormat="1" applyFont="1" applyFill="1" applyBorder="1" applyAlignment="1" applyProtection="1">
      <alignment horizontal="center" vertical="center" shrinkToFit="1"/>
      <protection locked="0"/>
    </xf>
    <xf numFmtId="208" fontId="5" fillId="0" borderId="12" xfId="2" applyNumberFormat="1" applyFont="1" applyFill="1" applyBorder="1" applyAlignment="1" applyProtection="1">
      <alignment vertical="center"/>
      <protection locked="0"/>
    </xf>
    <xf numFmtId="2"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0" borderId="222" xfId="2" applyNumberFormat="1" applyFont="1" applyFill="1" applyBorder="1" applyAlignment="1" applyProtection="1">
      <alignment horizontal="center" vertical="center" shrinkToFit="1"/>
      <protection locked="0"/>
    </xf>
    <xf numFmtId="208" fontId="5" fillId="0" borderId="222" xfId="2" applyNumberFormat="1" applyFont="1" applyFill="1" applyBorder="1" applyAlignment="1" applyProtection="1">
      <alignment vertical="center"/>
      <protection locked="0"/>
    </xf>
    <xf numFmtId="208" fontId="5" fillId="0" borderId="221" xfId="2" applyNumberFormat="1" applyFont="1" applyFill="1" applyBorder="1" applyAlignment="1" applyProtection="1">
      <alignment vertical="center"/>
      <protection locked="0"/>
    </xf>
    <xf numFmtId="208"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18" borderId="223" xfId="2" applyFont="1" applyFill="1" applyBorder="1" applyAlignment="1" applyProtection="1">
      <alignment horizontal="center" vertical="center" textRotation="255" shrinkToFit="1"/>
    </xf>
    <xf numFmtId="0" fontId="5" fillId="0" borderId="224" xfId="2" applyFont="1" applyFill="1" applyBorder="1" applyProtection="1"/>
    <xf numFmtId="209" fontId="5" fillId="0" borderId="224" xfId="2" applyNumberFormat="1" applyFont="1" applyFill="1" applyBorder="1" applyProtection="1"/>
    <xf numFmtId="177" fontId="5" fillId="0" borderId="195" xfId="2" applyNumberFormat="1" applyFont="1" applyFill="1" applyBorder="1" applyAlignment="1" applyProtection="1">
      <alignment horizontal="right" shrinkToFit="1"/>
    </xf>
    <xf numFmtId="3" fontId="5" fillId="0" borderId="225" xfId="12" applyNumberFormat="1" applyFont="1" applyFill="1" applyBorder="1" applyAlignment="1" applyProtection="1">
      <alignment horizontal="right" shrinkToFit="1"/>
    </xf>
    <xf numFmtId="177" fontId="5" fillId="0" borderId="197" xfId="2" applyNumberFormat="1" applyFont="1" applyFill="1" applyBorder="1" applyAlignment="1" applyProtection="1">
      <alignment horizontal="right" shrinkToFit="1"/>
    </xf>
    <xf numFmtId="3" fontId="5" fillId="0" borderId="226" xfId="12" applyNumberFormat="1" applyFont="1" applyFill="1" applyBorder="1" applyAlignment="1" applyProtection="1">
      <alignment horizontal="right" shrinkToFit="1"/>
    </xf>
    <xf numFmtId="3" fontId="5" fillId="0" borderId="133" xfId="12" applyNumberFormat="1" applyFont="1" applyFill="1" applyBorder="1" applyAlignment="1" applyProtection="1">
      <alignment horizontal="right" shrinkToFit="1"/>
    </xf>
    <xf numFmtId="3" fontId="5" fillId="0" borderId="134" xfId="12" applyNumberFormat="1" applyFont="1" applyFill="1" applyBorder="1" applyAlignment="1" applyProtection="1">
      <alignment horizontal="right" shrinkToFit="1"/>
    </xf>
    <xf numFmtId="183" fontId="5" fillId="0" borderId="227" xfId="2" applyNumberFormat="1" applyFont="1" applyFill="1" applyBorder="1" applyAlignment="1" applyProtection="1">
      <alignment horizontal="right" shrinkToFit="1"/>
    </xf>
    <xf numFmtId="177" fontId="5" fillId="0" borderId="224" xfId="2" applyNumberFormat="1" applyFont="1" applyFill="1" applyBorder="1" applyAlignment="1" applyProtection="1">
      <alignment horizontal="right" shrinkToFit="1"/>
    </xf>
    <xf numFmtId="183" fontId="5" fillId="0" borderId="228" xfId="2" applyNumberFormat="1" applyFont="1" applyFill="1" applyBorder="1" applyAlignment="1" applyProtection="1">
      <alignment horizontal="right" shrinkToFit="1"/>
    </xf>
    <xf numFmtId="3" fontId="5" fillId="0" borderId="229" xfId="12" applyNumberFormat="1" applyFont="1" applyFill="1" applyBorder="1" applyAlignment="1" applyProtection="1">
      <alignment horizontal="right" shrinkToFit="1"/>
    </xf>
    <xf numFmtId="177" fontId="5" fillId="0" borderId="0" xfId="2" applyNumberFormat="1" applyFont="1" applyFill="1" applyBorder="1" applyAlignment="1" applyProtection="1">
      <alignment horizontal="right" shrinkToFit="1"/>
    </xf>
    <xf numFmtId="3" fontId="5" fillId="0" borderId="0" xfId="12" applyNumberFormat="1" applyFont="1" applyFill="1" applyBorder="1" applyAlignment="1" applyProtection="1">
      <alignment vertical="center" shrinkToFit="1"/>
    </xf>
    <xf numFmtId="2" fontId="5" fillId="0" borderId="12" xfId="2" applyNumberFormat="1" applyFont="1" applyFill="1" applyBorder="1" applyAlignment="1" applyProtection="1">
      <alignment vertical="center"/>
    </xf>
    <xf numFmtId="177" fontId="5" fillId="0" borderId="0" xfId="2" applyNumberFormat="1" applyFont="1" applyFill="1" applyBorder="1" applyAlignment="1" applyProtection="1">
      <alignment vertical="center" wrapText="1" shrinkToFit="1"/>
    </xf>
    <xf numFmtId="0" fontId="5" fillId="3" borderId="230" xfId="2" applyFont="1" applyFill="1" applyBorder="1" applyAlignment="1" applyProtection="1">
      <alignment horizontal="center" vertical="center" shrinkToFit="1"/>
      <protection locked="0"/>
    </xf>
    <xf numFmtId="0" fontId="5" fillId="3" borderId="231" xfId="2" applyFont="1" applyFill="1" applyBorder="1" applyAlignment="1" applyProtection="1">
      <alignment horizontal="center" vertical="center" shrinkToFit="1"/>
    </xf>
    <xf numFmtId="0" fontId="5" fillId="3" borderId="232" xfId="2" applyFont="1" applyFill="1" applyBorder="1" applyAlignment="1" applyProtection="1">
      <alignment horizontal="center" vertical="center" shrinkToFit="1"/>
    </xf>
    <xf numFmtId="210" fontId="5" fillId="3" borderId="233" xfId="2" applyNumberFormat="1" applyFont="1" applyFill="1" applyBorder="1" applyAlignment="1" applyProtection="1">
      <alignment horizontal="center" vertical="center" shrinkToFit="1"/>
      <protection locked="0"/>
    </xf>
    <xf numFmtId="177" fontId="5" fillId="3" borderId="234" xfId="2" applyNumberFormat="1" applyFont="1" applyFill="1" applyBorder="1" applyAlignment="1" applyProtection="1">
      <alignment horizontal="center" vertical="center" wrapText="1" shrinkToFit="1"/>
    </xf>
    <xf numFmtId="0" fontId="5" fillId="3" borderId="3" xfId="2"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wrapText="1" shrinkToFit="1"/>
    </xf>
    <xf numFmtId="0" fontId="5" fillId="3" borderId="4" xfId="2" applyFont="1" applyFill="1" applyBorder="1" applyAlignment="1" applyProtection="1">
      <alignment horizontal="center" vertical="center" shrinkToFit="1"/>
    </xf>
    <xf numFmtId="0" fontId="5" fillId="0" borderId="133" xfId="2" applyFont="1" applyFill="1" applyBorder="1" applyAlignment="1" applyProtection="1">
      <alignment horizontal="center" vertical="center" shrinkToFit="1"/>
    </xf>
    <xf numFmtId="0" fontId="5" fillId="0" borderId="134" xfId="2" applyFont="1" applyFill="1" applyBorder="1" applyAlignment="1" applyProtection="1">
      <alignment horizontal="center" vertical="center" shrinkToFit="1"/>
    </xf>
    <xf numFmtId="183" fontId="5" fillId="3" borderId="234" xfId="2" applyNumberFormat="1" applyFont="1" applyFill="1" applyBorder="1" applyAlignment="1" applyProtection="1">
      <alignment horizontal="center" vertical="center" wrapText="1" shrinkToFit="1"/>
    </xf>
    <xf numFmtId="177" fontId="5" fillId="3" borderId="232"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wrapText="1" shrinkToFit="1"/>
    </xf>
    <xf numFmtId="0" fontId="5" fillId="3" borderId="236" xfId="2"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vertical="center" wrapText="1" shrinkToFit="1"/>
    </xf>
    <xf numFmtId="0" fontId="5" fillId="0" borderId="0" xfId="2" applyFont="1" applyFill="1" applyBorder="1" applyAlignment="1" applyProtection="1">
      <alignment horizontal="center" vertical="center" wrapText="1"/>
    </xf>
    <xf numFmtId="193" fontId="5" fillId="0" borderId="0" xfId="12" applyNumberFormat="1" applyFont="1" applyFill="1" applyBorder="1" applyAlignment="1" applyProtection="1">
      <alignment horizontal="center" vertical="center"/>
    </xf>
    <xf numFmtId="0" fontId="5" fillId="0" borderId="237" xfId="2" applyNumberFormat="1" applyFont="1" applyFill="1" applyBorder="1" applyAlignment="1" applyProtection="1">
      <alignment horizontal="center"/>
    </xf>
    <xf numFmtId="211" fontId="5" fillId="0" borderId="189" xfId="2" applyNumberFormat="1" applyFont="1" applyFill="1" applyBorder="1" applyAlignment="1" applyProtection="1">
      <alignment horizontal="center"/>
      <protection locked="0"/>
    </xf>
    <xf numFmtId="0" fontId="5" fillId="0" borderId="237" xfId="2" applyNumberFormat="1" applyFont="1" applyFill="1" applyBorder="1" applyAlignment="1" applyProtection="1">
      <alignment horizontal="center"/>
      <protection locked="0"/>
    </xf>
    <xf numFmtId="207" fontId="5" fillId="0" borderId="191" xfId="2" applyNumberFormat="1" applyFont="1" applyFill="1" applyBorder="1" applyAlignment="1" applyProtection="1">
      <alignment horizontal="right" shrinkToFit="1"/>
      <protection locked="0"/>
    </xf>
    <xf numFmtId="207" fontId="5" fillId="0" borderId="238" xfId="2" applyNumberFormat="1" applyFont="1" applyFill="1" applyBorder="1" applyAlignment="1" applyProtection="1">
      <alignment horizontal="right" shrinkToFit="1"/>
      <protection locked="0"/>
    </xf>
    <xf numFmtId="193" fontId="5" fillId="0" borderId="129" xfId="12" applyNumberFormat="1" applyFont="1" applyFill="1" applyBorder="1" applyAlignment="1" applyProtection="1">
      <alignment horizontal="right" shrinkToFit="1"/>
    </xf>
    <xf numFmtId="183" fontId="5" fillId="0" borderId="191" xfId="2" applyNumberFormat="1" applyFont="1" applyFill="1" applyBorder="1" applyAlignment="1" applyProtection="1">
      <alignment horizontal="right" shrinkToFit="1"/>
      <protection locked="0"/>
    </xf>
    <xf numFmtId="207" fontId="5" fillId="0" borderId="128" xfId="2" applyNumberFormat="1" applyFont="1" applyFill="1" applyBorder="1" applyAlignment="1" applyProtection="1">
      <alignment horizontal="right" shrinkToFit="1"/>
      <protection locked="0"/>
    </xf>
    <xf numFmtId="183" fontId="5" fillId="0" borderId="238"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vertical="center" shrinkToFit="1"/>
      <protection locked="0"/>
    </xf>
    <xf numFmtId="208" fontId="5" fillId="0" borderId="0" xfId="12" applyNumberFormat="1" applyFont="1" applyFill="1" applyBorder="1" applyAlignment="1" applyProtection="1">
      <alignment vertical="center"/>
    </xf>
    <xf numFmtId="0" fontId="5" fillId="0" borderId="239" xfId="2" applyNumberFormat="1" applyFont="1" applyFill="1" applyBorder="1" applyAlignment="1" applyProtection="1">
      <alignment horizontal="center"/>
    </xf>
    <xf numFmtId="211" fontId="5" fillId="0" borderId="79" xfId="2" applyNumberFormat="1" applyFont="1" applyFill="1" applyBorder="1" applyAlignment="1" applyProtection="1">
      <alignment horizontal="center"/>
      <protection locked="0"/>
    </xf>
    <xf numFmtId="0" fontId="5" fillId="0" borderId="239" xfId="2" applyNumberFormat="1" applyFont="1" applyFill="1" applyBorder="1" applyAlignment="1" applyProtection="1">
      <alignment horizontal="center"/>
      <protection locked="0"/>
    </xf>
    <xf numFmtId="207" fontId="5" fillId="0" borderId="201" xfId="2" applyNumberFormat="1" applyFont="1" applyFill="1" applyBorder="1" applyAlignment="1" applyProtection="1">
      <alignment horizontal="right" shrinkToFit="1"/>
      <protection locked="0"/>
    </xf>
    <xf numFmtId="207" fontId="5" fillId="0" borderId="240" xfId="2" applyNumberFormat="1" applyFont="1" applyFill="1" applyBorder="1" applyAlignment="1" applyProtection="1">
      <alignment horizontal="right" shrinkToFit="1"/>
      <protection locked="0"/>
    </xf>
    <xf numFmtId="183" fontId="5" fillId="0" borderId="201" xfId="2" applyNumberFormat="1" applyFont="1" applyFill="1" applyBorder="1" applyAlignment="1" applyProtection="1">
      <alignment horizontal="right" shrinkToFit="1"/>
      <protection locked="0"/>
    </xf>
    <xf numFmtId="207" fontId="5" fillId="0" borderId="68" xfId="2" applyNumberFormat="1" applyFont="1" applyFill="1" applyBorder="1" applyAlignment="1" applyProtection="1">
      <alignment horizontal="right" shrinkToFit="1"/>
      <protection locked="0"/>
    </xf>
    <xf numFmtId="183" fontId="5" fillId="0" borderId="240" xfId="2" applyNumberFormat="1" applyFont="1" applyFill="1" applyBorder="1" applyAlignment="1" applyProtection="1">
      <alignment horizontal="right" shrinkToFit="1"/>
      <protection locked="0"/>
    </xf>
    <xf numFmtId="177" fontId="5" fillId="0" borderId="0" xfId="2" applyNumberFormat="1" applyFont="1" applyFill="1" applyBorder="1" applyAlignment="1" applyProtection="1">
      <alignment horizontal="right" vertical="center"/>
    </xf>
    <xf numFmtId="0" fontId="5" fillId="0" borderId="79" xfId="2" applyNumberFormat="1" applyFont="1" applyFill="1" applyBorder="1" applyAlignment="1" applyProtection="1">
      <alignment horizontal="center"/>
      <protection locked="0"/>
    </xf>
    <xf numFmtId="0" fontId="5" fillId="0" borderId="58" xfId="12" applyNumberFormat="1" applyFont="1" applyFill="1" applyBorder="1" applyAlignment="1" applyProtection="1">
      <alignment horizontal="center" vertical="center" shrinkToFit="1"/>
    </xf>
    <xf numFmtId="0" fontId="5" fillId="0" borderId="61" xfId="12" applyNumberFormat="1" applyFont="1" applyFill="1" applyBorder="1" applyAlignment="1" applyProtection="1">
      <alignment horizontal="center" vertical="center" shrinkToFit="1"/>
    </xf>
    <xf numFmtId="0" fontId="5" fillId="0" borderId="221" xfId="12" applyNumberFormat="1" applyFont="1" applyFill="1" applyBorder="1" applyAlignment="1" applyProtection="1">
      <alignment horizontal="center" vertical="center" shrinkToFit="1"/>
    </xf>
    <xf numFmtId="208" fontId="5" fillId="0" borderId="52" xfId="12" applyNumberFormat="1" applyFont="1" applyFill="1" applyBorder="1" applyAlignment="1" applyProtection="1">
      <alignment vertical="center"/>
    </xf>
    <xf numFmtId="208" fontId="5" fillId="0" borderId="52" xfId="2" applyNumberFormat="1" applyFont="1" applyFill="1" applyBorder="1" applyAlignment="1" applyProtection="1">
      <alignment vertical="center"/>
    </xf>
    <xf numFmtId="208" fontId="5" fillId="0" borderId="222" xfId="12" applyNumberFormat="1" applyFont="1" applyFill="1" applyBorder="1" applyAlignment="1" applyProtection="1">
      <alignment vertical="center"/>
    </xf>
    <xf numFmtId="208" fontId="5" fillId="0" borderId="221" xfId="12" applyNumberFormat="1" applyFont="1" applyFill="1" applyBorder="1" applyAlignment="1" applyProtection="1">
      <alignment vertical="center"/>
    </xf>
    <xf numFmtId="208" fontId="5" fillId="0" borderId="222" xfId="2" applyNumberFormat="1" applyFont="1" applyFill="1" applyBorder="1" applyAlignment="1" applyProtection="1">
      <alignment vertical="center"/>
    </xf>
    <xf numFmtId="208" fontId="5" fillId="0" borderId="31" xfId="2" applyNumberFormat="1" applyFont="1" applyFill="1" applyBorder="1" applyAlignment="1" applyProtection="1">
      <alignment vertical="center"/>
    </xf>
    <xf numFmtId="198" fontId="5" fillId="0" borderId="0" xfId="2" applyNumberFormat="1" applyFont="1" applyFill="1" applyBorder="1" applyAlignment="1" applyProtection="1">
      <alignment vertical="center"/>
      <protection locked="0"/>
    </xf>
    <xf numFmtId="3" fontId="5" fillId="0" borderId="58" xfId="12" applyNumberFormat="1" applyFont="1" applyFill="1" applyBorder="1" applyAlignment="1" applyProtection="1">
      <alignment horizontal="center" vertical="center"/>
    </xf>
    <xf numFmtId="3" fontId="5" fillId="0" borderId="61" xfId="12" applyNumberFormat="1" applyFont="1" applyFill="1" applyBorder="1" applyAlignment="1" applyProtection="1">
      <alignment horizontal="center" vertical="center"/>
    </xf>
    <xf numFmtId="3" fontId="5" fillId="0" borderId="221" xfId="12" applyNumberFormat="1" applyFont="1" applyFill="1" applyBorder="1" applyAlignment="1" applyProtection="1">
      <alignment horizontal="center" vertical="center"/>
    </xf>
    <xf numFmtId="208" fontId="5" fillId="0" borderId="52" xfId="1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vertical="center"/>
    </xf>
    <xf numFmtId="208" fontId="5" fillId="0" borderId="52" xfId="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horizontal="center" vertical="center"/>
    </xf>
    <xf numFmtId="208" fontId="5" fillId="0" borderId="0" xfId="12" applyNumberFormat="1" applyFont="1" applyFill="1" applyBorder="1" applyAlignment="1" applyProtection="1">
      <alignment horizontal="center" vertical="center"/>
    </xf>
    <xf numFmtId="208" fontId="5" fillId="0" borderId="0" xfId="2" applyNumberFormat="1" applyFont="1" applyFill="1" applyBorder="1" applyAlignment="1" applyProtection="1">
      <alignment vertical="center"/>
    </xf>
    <xf numFmtId="212" fontId="5" fillId="0" borderId="0" xfId="2" applyNumberFormat="1" applyFont="1" applyFill="1" applyBorder="1" applyAlignment="1" applyProtection="1">
      <alignment vertical="center"/>
    </xf>
    <xf numFmtId="3" fontId="5" fillId="0" borderId="0" xfId="12" applyNumberFormat="1" applyFont="1" applyFill="1" applyBorder="1" applyAlignment="1" applyProtection="1">
      <alignment horizontal="right" vertical="center"/>
    </xf>
    <xf numFmtId="213" fontId="5" fillId="0" borderId="0" xfId="2" applyNumberFormat="1" applyFont="1" applyFill="1" applyBorder="1" applyAlignment="1" applyProtection="1">
      <alignment vertical="center"/>
    </xf>
    <xf numFmtId="0" fontId="5" fillId="0" borderId="133" xfId="2" applyFont="1" applyFill="1" applyBorder="1" applyAlignment="1" applyProtection="1">
      <alignment horizontal="center" shrinkToFit="1"/>
    </xf>
    <xf numFmtId="0"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xf>
    <xf numFmtId="211"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protection locked="0"/>
    </xf>
    <xf numFmtId="207" fontId="5" fillId="0" borderId="215" xfId="2" applyNumberFormat="1" applyFont="1" applyFill="1" applyBorder="1" applyAlignment="1" applyProtection="1">
      <alignment horizontal="right" shrinkToFit="1"/>
      <protection locked="0"/>
    </xf>
    <xf numFmtId="207" fontId="5" fillId="0" borderId="243" xfId="2" applyNumberFormat="1" applyFont="1" applyFill="1" applyBorder="1" applyAlignment="1" applyProtection="1">
      <alignment horizontal="right" shrinkToFit="1"/>
      <protection locked="0"/>
    </xf>
    <xf numFmtId="183" fontId="5" fillId="0" borderId="215" xfId="2" applyNumberFormat="1" applyFont="1" applyFill="1" applyBorder="1" applyAlignment="1" applyProtection="1">
      <alignment horizontal="right" shrinkToFit="1"/>
      <protection locked="0"/>
    </xf>
    <xf numFmtId="207" fontId="5" fillId="0" borderId="217" xfId="2" applyNumberFormat="1" applyFont="1" applyFill="1" applyBorder="1" applyAlignment="1" applyProtection="1">
      <alignment horizontal="right" shrinkToFit="1"/>
      <protection locked="0"/>
    </xf>
    <xf numFmtId="183" fontId="5" fillId="0" borderId="243" xfId="2" applyNumberFormat="1" applyFont="1" applyFill="1" applyBorder="1" applyAlignment="1" applyProtection="1">
      <alignment horizontal="right" shrinkToFit="1"/>
      <protection locked="0"/>
    </xf>
    <xf numFmtId="2" fontId="5" fillId="0" borderId="0" xfId="2" applyNumberFormat="1" applyFont="1" applyFill="1" applyBorder="1" applyAlignment="1" applyProtection="1">
      <alignment vertical="center"/>
    </xf>
    <xf numFmtId="177" fontId="5" fillId="0" borderId="244" xfId="2" applyNumberFormat="1" applyFont="1" applyFill="1" applyBorder="1" applyAlignment="1" applyProtection="1">
      <alignment horizontal="right" shrinkToFit="1"/>
    </xf>
    <xf numFmtId="177" fontId="5" fillId="0" borderId="245" xfId="2" applyNumberFormat="1" applyFont="1" applyFill="1" applyBorder="1" applyAlignment="1" applyProtection="1">
      <alignment horizontal="right" shrinkToFit="1"/>
    </xf>
    <xf numFmtId="183" fontId="5" fillId="0" borderId="246" xfId="2" applyNumberFormat="1" applyFont="1" applyFill="1" applyBorder="1" applyAlignment="1" applyProtection="1">
      <alignment horizontal="right" shrinkToFit="1"/>
    </xf>
    <xf numFmtId="0" fontId="5" fillId="18" borderId="247" xfId="2" applyFont="1" applyFill="1" applyBorder="1" applyAlignment="1" applyProtection="1">
      <alignment horizontal="center" vertical="center" textRotation="255" shrinkToFit="1"/>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shrinkToFit="1"/>
    </xf>
    <xf numFmtId="177" fontId="5" fillId="3" borderId="234" xfId="2" applyNumberFormat="1"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shrinkToFit="1"/>
    </xf>
    <xf numFmtId="177" fontId="5" fillId="3" borderId="248" xfId="2" applyNumberFormat="1" applyFont="1" applyFill="1" applyBorder="1" applyAlignment="1" applyProtection="1">
      <alignment horizontal="center" vertical="center" shrinkToFit="1"/>
    </xf>
    <xf numFmtId="0" fontId="5" fillId="3" borderId="2" xfId="2" applyFont="1" applyFill="1" applyBorder="1" applyProtection="1"/>
    <xf numFmtId="0" fontId="5" fillId="3" borderId="3" xfId="2" applyFont="1" applyFill="1" applyBorder="1" applyAlignment="1" applyProtection="1">
      <alignment shrinkToFit="1"/>
    </xf>
    <xf numFmtId="0" fontId="5" fillId="3" borderId="3" xfId="2" applyFont="1" applyFill="1" applyBorder="1" applyAlignment="1" applyProtection="1">
      <alignment horizontal="center" shrinkToFit="1"/>
    </xf>
    <xf numFmtId="0" fontId="5" fillId="0" borderId="134" xfId="2" applyFont="1" applyFill="1" applyBorder="1" applyAlignment="1" applyProtection="1">
      <alignment horizontal="center" shrinkToFit="1"/>
    </xf>
    <xf numFmtId="183" fontId="5" fillId="3" borderId="234"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shrinkToFit="1"/>
    </xf>
    <xf numFmtId="0" fontId="5" fillId="0" borderId="0" xfId="2" applyFont="1" applyFill="1" applyBorder="1" applyAlignment="1" applyProtection="1">
      <alignment vertical="center" shrinkToFit="1"/>
    </xf>
    <xf numFmtId="177" fontId="5" fillId="0" borderId="0" xfId="2" applyNumberFormat="1" applyFont="1" applyFill="1" applyBorder="1" applyAlignment="1" applyProtection="1">
      <alignment vertical="center"/>
      <protection locked="0"/>
    </xf>
    <xf numFmtId="0" fontId="5" fillId="0" borderId="189" xfId="2" applyFont="1" applyFill="1" applyBorder="1" applyAlignment="1" applyProtection="1">
      <alignment horizontal="left" indent="1"/>
    </xf>
    <xf numFmtId="0" fontId="5" fillId="0" borderId="189" xfId="2" applyNumberFormat="1" applyFont="1" applyFill="1" applyBorder="1" applyAlignment="1" applyProtection="1">
      <alignment horizontal="left" shrinkToFit="1"/>
    </xf>
    <xf numFmtId="214" fontId="5" fillId="0" borderId="189" xfId="2" applyNumberFormat="1" applyFont="1" applyFill="1" applyBorder="1" applyAlignment="1" applyProtection="1">
      <alignment shrinkToFit="1"/>
      <protection locked="0"/>
    </xf>
    <xf numFmtId="215" fontId="5" fillId="0" borderId="189" xfId="12" applyNumberFormat="1" applyFont="1" applyFill="1" applyBorder="1" applyAlignment="1" applyProtection="1">
      <alignment horizontal="center" shrinkToFit="1"/>
      <protection locked="0"/>
    </xf>
    <xf numFmtId="0" fontId="5" fillId="0" borderId="189" xfId="2" applyNumberFormat="1" applyFont="1" applyFill="1" applyBorder="1" applyAlignment="1" applyProtection="1">
      <alignment shrinkToFit="1"/>
    </xf>
    <xf numFmtId="0" fontId="5" fillId="0" borderId="191" xfId="2" applyNumberFormat="1" applyFont="1" applyFill="1" applyBorder="1" applyAlignment="1" applyProtection="1">
      <alignment horizontal="right" shrinkToFit="1"/>
      <protection locked="0"/>
    </xf>
    <xf numFmtId="0" fontId="5" fillId="0" borderId="192" xfId="2" applyNumberFormat="1" applyFont="1" applyFill="1" applyBorder="1" applyAlignment="1" applyProtection="1">
      <alignment horizontal="right" shrinkToFit="1"/>
      <protection locked="0"/>
    </xf>
    <xf numFmtId="216" fontId="5" fillId="0" borderId="189" xfId="2" applyNumberFormat="1" applyFont="1" applyFill="1" applyBorder="1" applyAlignment="1" applyProtection="1">
      <alignment shrinkToFit="1"/>
      <protection locked="0"/>
    </xf>
    <xf numFmtId="0" fontId="5" fillId="0" borderId="128" xfId="2" applyNumberFormat="1" applyFont="1" applyFill="1" applyBorder="1" applyAlignment="1" applyProtection="1">
      <alignment horizontal="right" shrinkToFit="1"/>
      <protection locked="0"/>
    </xf>
    <xf numFmtId="183" fontId="5" fillId="0" borderId="192"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vertical="center" shrinkToFit="1"/>
      <protection locked="0"/>
    </xf>
    <xf numFmtId="0" fontId="5" fillId="0" borderId="79" xfId="2" applyFont="1" applyFill="1" applyBorder="1" applyAlignment="1" applyProtection="1">
      <alignment horizontal="left" indent="1"/>
    </xf>
    <xf numFmtId="0" fontId="5" fillId="0" borderId="79" xfId="2" applyNumberFormat="1" applyFont="1" applyFill="1" applyBorder="1" applyAlignment="1" applyProtection="1">
      <alignment horizontal="left" shrinkToFit="1"/>
    </xf>
    <xf numFmtId="217" fontId="5" fillId="0" borderId="79" xfId="2" applyNumberFormat="1" applyFont="1" applyFill="1" applyBorder="1" applyAlignment="1" applyProtection="1">
      <alignment shrinkToFit="1"/>
      <protection locked="0"/>
    </xf>
    <xf numFmtId="218" fontId="5" fillId="0" borderId="79" xfId="12" applyNumberFormat="1" applyFont="1" applyFill="1" applyBorder="1" applyAlignment="1" applyProtection="1">
      <alignment horizontal="center" shrinkToFit="1"/>
    </xf>
    <xf numFmtId="0" fontId="5" fillId="0" borderId="79" xfId="12" applyNumberFormat="1" applyFont="1" applyFill="1" applyBorder="1" applyAlignment="1" applyProtection="1">
      <alignment horizontal="left" shrinkToFit="1"/>
    </xf>
    <xf numFmtId="0" fontId="5" fillId="0" borderId="201" xfId="2" applyNumberFormat="1" applyFont="1" applyFill="1" applyBorder="1" applyAlignment="1" applyProtection="1">
      <alignment horizontal="right" shrinkToFit="1"/>
      <protection locked="0"/>
    </xf>
    <xf numFmtId="0" fontId="5" fillId="0" borderId="203" xfId="2" applyNumberFormat="1" applyFont="1" applyFill="1" applyBorder="1" applyAlignment="1" applyProtection="1">
      <alignment horizontal="right" shrinkToFit="1"/>
      <protection locked="0"/>
    </xf>
    <xf numFmtId="219" fontId="5" fillId="0" borderId="79" xfId="2" applyNumberFormat="1" applyFont="1" applyFill="1" applyBorder="1" applyAlignment="1" applyProtection="1">
      <alignment shrinkToFit="1"/>
      <protection locked="0"/>
    </xf>
    <xf numFmtId="0" fontId="5" fillId="0" borderId="68" xfId="2" applyNumberFormat="1" applyFont="1" applyFill="1" applyBorder="1" applyAlignment="1" applyProtection="1">
      <alignment horizontal="right" shrinkToFit="1"/>
      <protection locked="0"/>
    </xf>
    <xf numFmtId="183" fontId="5" fillId="0" borderId="203"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left" vertical="center"/>
    </xf>
    <xf numFmtId="2" fontId="18" fillId="0" borderId="0" xfId="2" applyNumberFormat="1" applyFont="1" applyFill="1" applyBorder="1" applyAlignment="1" applyProtection="1">
      <alignment vertical="center"/>
    </xf>
    <xf numFmtId="220" fontId="5" fillId="0" borderId="79" xfId="12" applyNumberFormat="1" applyFont="1" applyFill="1" applyBorder="1" applyAlignment="1" applyProtection="1">
      <alignment horizontal="center" shrinkToFit="1"/>
    </xf>
    <xf numFmtId="221" fontId="5" fillId="0" borderId="79" xfId="12" applyNumberFormat="1" applyFont="1" applyFill="1" applyBorder="1" applyAlignment="1" applyProtection="1">
      <alignment horizontal="left" shrinkToFit="1"/>
    </xf>
    <xf numFmtId="2" fontId="5" fillId="0" borderId="0" xfId="2" applyNumberFormat="1" applyFont="1" applyFill="1" applyBorder="1" applyAlignment="1" applyProtection="1">
      <alignment vertical="center"/>
      <protection locked="0"/>
    </xf>
    <xf numFmtId="0" fontId="5" fillId="3" borderId="96" xfId="2" applyFont="1" applyFill="1" applyBorder="1" applyAlignment="1" applyProtection="1">
      <alignment horizontal="center" vertical="center" shrinkToFit="1"/>
    </xf>
    <xf numFmtId="0" fontId="5" fillId="3" borderId="249" xfId="2" applyFont="1" applyFill="1" applyBorder="1" applyAlignment="1" applyProtection="1">
      <alignment horizontal="center" vertical="center" shrinkToFit="1"/>
    </xf>
    <xf numFmtId="3" fontId="5" fillId="3" borderId="22" xfId="12" applyNumberFormat="1" applyFont="1" applyFill="1" applyBorder="1" applyAlignment="1" applyProtection="1">
      <alignment horizontal="center" vertical="center"/>
    </xf>
    <xf numFmtId="3" fontId="5" fillId="3" borderId="250" xfId="12" applyNumberFormat="1" applyFont="1" applyFill="1" applyBorder="1" applyAlignment="1" applyProtection="1">
      <alignment horizontal="center" vertical="center"/>
    </xf>
    <xf numFmtId="3" fontId="5" fillId="3" borderId="251" xfId="12" applyNumberFormat="1" applyFont="1" applyFill="1" applyBorder="1" applyAlignment="1" applyProtection="1">
      <alignment horizontal="center" vertical="center" wrapText="1"/>
    </xf>
    <xf numFmtId="0" fontId="5" fillId="0" borderId="79" xfId="2" applyFont="1" applyFill="1" applyBorder="1" applyAlignment="1" applyProtection="1">
      <alignment horizontal="left" indent="1" shrinkToFit="1"/>
    </xf>
    <xf numFmtId="222" fontId="5" fillId="0" borderId="79" xfId="2" applyNumberFormat="1" applyFont="1" applyFill="1" applyBorder="1" applyAlignment="1" applyProtection="1">
      <alignment shrinkToFit="1"/>
      <protection locked="0"/>
    </xf>
    <xf numFmtId="220" fontId="5" fillId="0" borderId="79" xfId="2" applyNumberFormat="1" applyFont="1" applyFill="1" applyBorder="1" applyAlignment="1" applyProtection="1">
      <alignment horizontal="center"/>
    </xf>
    <xf numFmtId="0" fontId="5" fillId="0" borderId="79" xfId="2" applyNumberFormat="1" applyFont="1" applyFill="1" applyBorder="1" applyAlignment="1" applyProtection="1">
      <alignment horizontal="left" shrinkToFit="1"/>
      <protection locked="0"/>
    </xf>
    <xf numFmtId="223" fontId="5" fillId="0" borderId="79" xfId="2" applyNumberFormat="1" applyFont="1" applyFill="1" applyBorder="1" applyAlignment="1" applyProtection="1">
      <alignment shrinkToFit="1"/>
      <protection locked="0"/>
    </xf>
    <xf numFmtId="193" fontId="5" fillId="3" borderId="221" xfId="12" applyNumberFormat="1" applyFont="1" applyFill="1" applyBorder="1" applyAlignment="1" applyProtection="1">
      <alignment horizontal="center" vertical="center" wrapText="1" shrinkToFit="1"/>
    </xf>
    <xf numFmtId="193" fontId="5" fillId="3" borderId="12" xfId="12" applyNumberFormat="1" applyFont="1" applyFill="1" applyBorder="1" applyAlignment="1" applyProtection="1">
      <alignment horizontal="center" vertical="center" wrapText="1" shrinkToFit="1"/>
    </xf>
    <xf numFmtId="0" fontId="14" fillId="3" borderId="12" xfId="2" applyNumberFormat="1" applyFont="1" applyFill="1" applyBorder="1" applyAlignment="1" applyProtection="1">
      <alignment horizontal="center" vertical="center" wrapText="1"/>
      <protection locked="0"/>
    </xf>
    <xf numFmtId="0" fontId="5" fillId="3" borderId="12" xfId="2" applyNumberFormat="1" applyFont="1" applyFill="1" applyBorder="1" applyAlignment="1" applyProtection="1">
      <alignment horizontal="center" vertical="center" wrapText="1"/>
    </xf>
    <xf numFmtId="3" fontId="5" fillId="3" borderId="13" xfId="12" applyNumberFormat="1" applyFont="1" applyFill="1" applyBorder="1" applyAlignment="1" applyProtection="1">
      <alignment horizontal="center" vertical="center" wrapText="1"/>
    </xf>
    <xf numFmtId="0" fontId="5" fillId="0" borderId="252" xfId="2" applyFont="1" applyFill="1" applyBorder="1" applyAlignment="1" applyProtection="1">
      <alignment horizontal="left" indent="1" shrinkToFit="1"/>
    </xf>
    <xf numFmtId="0" fontId="5" fillId="0" borderId="253" xfId="2" applyFont="1" applyFill="1" applyBorder="1" applyAlignment="1" applyProtection="1">
      <alignment horizontal="left" indent="1" shrinkToFit="1"/>
    </xf>
    <xf numFmtId="220" fontId="5" fillId="0" borderId="20" xfId="2" applyNumberFormat="1" applyFont="1" applyFill="1" applyBorder="1" applyAlignment="1" applyProtection="1">
      <alignment horizontal="center"/>
    </xf>
    <xf numFmtId="0" fontId="5" fillId="0" borderId="0" xfId="2" applyNumberFormat="1" applyFont="1" applyFill="1" applyBorder="1" applyAlignment="1" applyProtection="1">
      <alignment horizontal="left" shrinkToFit="1"/>
      <protection locked="0"/>
    </xf>
    <xf numFmtId="0" fontId="5" fillId="0" borderId="254"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right" shrinkToFit="1"/>
    </xf>
    <xf numFmtId="0" fontId="5" fillId="0" borderId="255" xfId="2" applyNumberFormat="1" applyFont="1" applyFill="1" applyBorder="1" applyAlignment="1" applyProtection="1">
      <alignment horizontal="right" shrinkToFit="1"/>
      <protection locked="0"/>
    </xf>
    <xf numFmtId="193" fontId="5" fillId="0" borderId="256" xfId="12" applyNumberFormat="1" applyFont="1" applyFill="1" applyBorder="1" applyAlignment="1" applyProtection="1">
      <alignment horizontal="right" shrinkToFit="1"/>
    </xf>
    <xf numFmtId="183" fontId="5" fillId="0" borderId="254" xfId="2" applyNumberFormat="1" applyFont="1" applyFill="1" applyBorder="1" applyAlignment="1" applyProtection="1">
      <alignment horizontal="right" shrinkToFit="1"/>
      <protection locked="0"/>
    </xf>
    <xf numFmtId="0" fontId="5" fillId="0" borderId="40" xfId="2" applyNumberFormat="1" applyFont="1" applyFill="1" applyBorder="1" applyAlignment="1" applyProtection="1">
      <alignment horizontal="right" shrinkToFit="1"/>
      <protection locked="0"/>
    </xf>
    <xf numFmtId="183" fontId="5" fillId="0" borderId="255" xfId="2" applyNumberFormat="1" applyFont="1" applyFill="1" applyBorder="1" applyAlignment="1" applyProtection="1">
      <alignment horizontal="right" shrinkToFit="1"/>
      <protection locked="0"/>
    </xf>
    <xf numFmtId="193" fontId="5" fillId="0" borderId="257" xfId="12" applyNumberFormat="1" applyFont="1" applyFill="1" applyBorder="1" applyAlignment="1" applyProtection="1">
      <alignment horizontal="right" shrinkToFit="1"/>
    </xf>
    <xf numFmtId="202" fontId="5" fillId="14" borderId="157" xfId="2" applyNumberFormat="1" applyFont="1" applyFill="1" applyBorder="1" applyAlignment="1" applyProtection="1">
      <alignment horizontal="center" vertical="center" wrapText="1"/>
      <protection locked="0"/>
    </xf>
    <xf numFmtId="202" fontId="5" fillId="15" borderId="157" xfId="2" applyNumberFormat="1" applyFont="1" applyFill="1" applyBorder="1" applyAlignment="1" applyProtection="1">
      <alignment horizontal="center" vertical="center" wrapText="1"/>
      <protection locked="0"/>
    </xf>
    <xf numFmtId="202" fontId="18" fillId="19" borderId="157" xfId="2" applyNumberFormat="1" applyFont="1" applyFill="1" applyBorder="1" applyAlignment="1" applyProtection="1">
      <alignment horizontal="center" vertical="center" wrapText="1"/>
      <protection locked="0"/>
    </xf>
    <xf numFmtId="0" fontId="5" fillId="3" borderId="97" xfId="2" applyFont="1" applyFill="1" applyBorder="1" applyAlignment="1" applyProtection="1">
      <alignment horizontal="center" vertical="center" shrinkToFit="1"/>
    </xf>
    <xf numFmtId="0" fontId="5" fillId="3" borderId="49" xfId="2" applyFont="1" applyFill="1" applyBorder="1" applyAlignment="1" applyProtection="1">
      <alignment horizontal="center" vertical="center" shrinkToFit="1"/>
    </xf>
    <xf numFmtId="0" fontId="5" fillId="0" borderId="14" xfId="2" applyFont="1" applyFill="1" applyBorder="1" applyAlignment="1" applyProtection="1">
      <alignment horizontal="center" vertical="center" shrinkToFit="1"/>
    </xf>
    <xf numFmtId="0" fontId="5" fillId="0" borderId="15" xfId="2" applyFont="1" applyFill="1" applyBorder="1" applyAlignment="1" applyProtection="1">
      <alignment horizontal="center" vertical="center" shrinkToFit="1"/>
    </xf>
    <xf numFmtId="208" fontId="5" fillId="0" borderId="49" xfId="2" applyNumberFormat="1" applyFont="1" applyFill="1" applyBorder="1" applyAlignment="1" applyProtection="1">
      <alignment vertical="center"/>
    </xf>
    <xf numFmtId="208" fontId="5" fillId="0" borderId="15" xfId="2" applyNumberFormat="1" applyFont="1" applyFill="1" applyBorder="1" applyAlignment="1" applyProtection="1">
      <alignment vertical="center"/>
    </xf>
    <xf numFmtId="208" fontId="5" fillId="0" borderId="16" xfId="2" applyNumberFormat="1" applyFont="1" applyFill="1" applyBorder="1" applyAlignment="1" applyProtection="1">
      <alignment vertical="center"/>
    </xf>
    <xf numFmtId="0" fontId="5" fillId="18" borderId="247" xfId="2" applyFont="1" applyFill="1" applyBorder="1" applyAlignment="1" applyProtection="1">
      <alignment horizontal="center" vertical="center" textRotation="255" wrapText="1" shrinkToFit="1"/>
    </xf>
    <xf numFmtId="0" fontId="5" fillId="3" borderId="3" xfId="2" applyFont="1" applyFill="1" applyBorder="1" applyAlignment="1" applyProtection="1">
      <alignment horizontal="left"/>
    </xf>
    <xf numFmtId="0" fontId="5" fillId="3" borderId="3" xfId="2" applyFont="1" applyFill="1" applyBorder="1" applyProtection="1"/>
    <xf numFmtId="0" fontId="5" fillId="3" borderId="3" xfId="2" applyFont="1" applyFill="1" applyBorder="1" applyAlignment="1" applyProtection="1">
      <alignment horizontal="right"/>
    </xf>
    <xf numFmtId="0" fontId="5" fillId="3" borderId="3" xfId="2" applyFont="1" applyFill="1" applyBorder="1" applyAlignment="1" applyProtection="1">
      <alignment horizontal="left" vertical="center"/>
    </xf>
    <xf numFmtId="0" fontId="5" fillId="3" borderId="3" xfId="2" applyFont="1" applyFill="1" applyBorder="1" applyAlignment="1" applyProtection="1">
      <alignment vertical="center"/>
    </xf>
    <xf numFmtId="0" fontId="5" fillId="3" borderId="3" xfId="2" applyFont="1" applyFill="1" applyBorder="1" applyAlignment="1" applyProtection="1">
      <alignment horizontal="right" vertical="center"/>
    </xf>
    <xf numFmtId="0" fontId="5" fillId="18" borderId="58" xfId="2" applyFont="1" applyFill="1" applyBorder="1" applyAlignment="1" applyProtection="1">
      <alignment horizontal="center" vertical="center" textRotation="255" wrapText="1" shrinkToFit="1"/>
    </xf>
    <xf numFmtId="3" fontId="5" fillId="0" borderId="0" xfId="12" applyNumberFormat="1" applyFont="1" applyFill="1" applyBorder="1" applyAlignment="1" applyProtection="1">
      <alignment vertical="center" shrinkToFit="1"/>
    </xf>
    <xf numFmtId="0" fontId="5" fillId="0" borderId="11" xfId="2" applyFont="1" applyFill="1" applyBorder="1" applyAlignment="1" applyProtection="1">
      <alignment horizontal="center" vertical="center" shrinkToFit="1"/>
    </xf>
    <xf numFmtId="0" fontId="5" fillId="0" borderId="12" xfId="2" applyFont="1" applyFill="1" applyBorder="1" applyAlignment="1" applyProtection="1">
      <alignment horizontal="center" vertical="center" shrinkToFit="1"/>
    </xf>
    <xf numFmtId="208" fontId="5" fillId="0" borderId="221" xfId="2" applyNumberFormat="1" applyFont="1" applyFill="1" applyBorder="1" applyAlignment="1" applyProtection="1">
      <alignment vertical="center"/>
    </xf>
    <xf numFmtId="0" fontId="5" fillId="18" borderId="36" xfId="2" applyFont="1" applyFill="1" applyBorder="1" applyAlignment="1" applyProtection="1">
      <alignment horizontal="center" vertical="center" textRotation="255" wrapText="1" shrinkToFit="1"/>
    </xf>
    <xf numFmtId="200" fontId="5" fillId="0" borderId="0" xfId="2" applyNumberFormat="1" applyFont="1" applyFill="1" applyBorder="1" applyProtection="1"/>
    <xf numFmtId="220" fontId="5" fillId="0" borderId="0" xfId="2" applyNumberFormat="1" applyFont="1" applyFill="1" applyBorder="1" applyAlignment="1" applyProtection="1">
      <alignment horizontal="center"/>
    </xf>
    <xf numFmtId="0" fontId="5" fillId="0" borderId="0" xfId="2" applyFont="1" applyFill="1" applyBorder="1" applyAlignment="1" applyProtection="1">
      <alignment horizontal="left"/>
    </xf>
    <xf numFmtId="207" fontId="5" fillId="0" borderId="254" xfId="2" applyNumberFormat="1" applyFont="1" applyFill="1" applyBorder="1" applyAlignment="1" applyProtection="1">
      <alignment horizontal="right" shrinkToFit="1"/>
    </xf>
    <xf numFmtId="193" fontId="5" fillId="0" borderId="206" xfId="12" applyNumberFormat="1" applyFont="1" applyFill="1" applyBorder="1" applyAlignment="1" applyProtection="1">
      <alignment horizontal="right" shrinkToFit="1"/>
    </xf>
    <xf numFmtId="207" fontId="5" fillId="0" borderId="40" xfId="2" applyNumberFormat="1" applyFont="1" applyFill="1" applyBorder="1" applyAlignment="1" applyProtection="1">
      <alignment horizontal="right" shrinkToFit="1"/>
    </xf>
    <xf numFmtId="207" fontId="5" fillId="0" borderId="255" xfId="2" applyNumberFormat="1" applyFont="1" applyFill="1" applyBorder="1" applyAlignment="1" applyProtection="1">
      <alignment horizontal="right" shrinkToFit="1"/>
    </xf>
    <xf numFmtId="193" fontId="5" fillId="0" borderId="38"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wrapText="1" shrinkToFit="1"/>
    </xf>
    <xf numFmtId="183" fontId="5" fillId="0" borderId="254" xfId="2" applyNumberFormat="1" applyFont="1" applyFill="1" applyBorder="1" applyAlignment="1" applyProtection="1">
      <alignment horizontal="right" shrinkToFit="1"/>
    </xf>
    <xf numFmtId="183" fontId="5" fillId="0" borderId="40" xfId="2" applyNumberFormat="1" applyFont="1" applyFill="1" applyBorder="1" applyAlignment="1" applyProtection="1">
      <alignment horizontal="right" shrinkToFit="1"/>
    </xf>
    <xf numFmtId="207" fontId="5" fillId="0" borderId="0" xfId="2" applyNumberFormat="1" applyFont="1" applyFill="1" applyBorder="1" applyAlignment="1" applyProtection="1">
      <alignment horizontal="right" shrinkToFit="1"/>
    </xf>
    <xf numFmtId="177" fontId="5" fillId="0" borderId="227" xfId="2" applyNumberFormat="1" applyFont="1" applyFill="1" applyBorder="1" applyAlignment="1" applyProtection="1">
      <alignment horizontal="right" shrinkToFit="1"/>
    </xf>
    <xf numFmtId="3" fontId="5" fillId="0" borderId="258" xfId="12" applyNumberFormat="1" applyFont="1" applyFill="1" applyBorder="1" applyAlignment="1" applyProtection="1">
      <alignment horizontal="right" shrinkToFit="1"/>
    </xf>
    <xf numFmtId="177" fontId="5" fillId="0" borderId="259" xfId="2" applyNumberFormat="1" applyFont="1" applyFill="1" applyBorder="1" applyAlignment="1" applyProtection="1">
      <alignment horizontal="right" shrinkToFit="1"/>
    </xf>
    <xf numFmtId="3" fontId="5" fillId="0" borderId="224" xfId="12" applyNumberFormat="1" applyFont="1" applyFill="1" applyBorder="1" applyAlignment="1" applyProtection="1">
      <alignment horizontal="right" shrinkToFit="1"/>
    </xf>
    <xf numFmtId="177" fontId="5" fillId="0" borderId="228" xfId="2" applyNumberFormat="1" applyFont="1" applyFill="1" applyBorder="1" applyAlignment="1" applyProtection="1">
      <alignment horizontal="right" shrinkToFit="1"/>
    </xf>
    <xf numFmtId="3" fontId="5" fillId="0" borderId="260" xfId="12" applyNumberFormat="1" applyFont="1" applyFill="1" applyBorder="1" applyAlignment="1" applyProtection="1">
      <alignment horizontal="right" shrinkToFit="1"/>
    </xf>
    <xf numFmtId="183" fontId="5" fillId="0" borderId="259" xfId="2" applyNumberFormat="1" applyFont="1" applyFill="1" applyBorder="1" applyAlignment="1" applyProtection="1">
      <alignment horizontal="right" shrinkToFit="1"/>
    </xf>
    <xf numFmtId="3" fontId="5" fillId="0" borderId="261" xfId="12" applyNumberFormat="1" applyFont="1" applyFill="1" applyBorder="1" applyAlignment="1" applyProtection="1">
      <alignment horizontal="right" shrinkToFit="1"/>
    </xf>
    <xf numFmtId="0" fontId="5" fillId="18" borderId="262" xfId="2" applyFont="1" applyFill="1" applyBorder="1" applyAlignment="1" applyProtection="1">
      <alignment horizontal="center" vertical="center" textRotation="255" wrapText="1" shrinkToFit="1"/>
    </xf>
    <xf numFmtId="0" fontId="5" fillId="3" borderId="230" xfId="2" applyFont="1" applyFill="1" applyBorder="1" applyAlignment="1" applyProtection="1">
      <alignment horizontal="center" vertical="center"/>
      <protection locked="0"/>
    </xf>
    <xf numFmtId="0" fontId="5" fillId="3" borderId="233" xfId="2" applyFont="1" applyFill="1" applyBorder="1" applyAlignment="1" applyProtection="1">
      <alignment horizontal="center" vertical="center"/>
    </xf>
    <xf numFmtId="0" fontId="5" fillId="3" borderId="232" xfId="2" applyFont="1" applyFill="1" applyBorder="1" applyAlignment="1" applyProtection="1">
      <alignment horizontal="center" vertical="center"/>
    </xf>
    <xf numFmtId="0" fontId="5" fillId="3" borderId="233" xfId="2" applyFont="1" applyFill="1" applyBorder="1" applyAlignment="1" applyProtection="1">
      <alignment horizontal="center" vertical="center" wrapText="1"/>
    </xf>
    <xf numFmtId="0" fontId="5" fillId="3" borderId="236" xfId="2" applyFont="1" applyFill="1" applyBorder="1" applyAlignment="1" applyProtection="1">
      <alignment horizontal="center" vertical="center" wrapText="1"/>
    </xf>
    <xf numFmtId="177" fontId="5" fillId="3" borderId="232" xfId="2" applyNumberFormat="1" applyFont="1" applyFill="1" applyBorder="1" applyAlignment="1" applyProtection="1">
      <alignment horizontal="center" vertical="center" wrapText="1" shrinkToFit="1"/>
    </xf>
    <xf numFmtId="177" fontId="5" fillId="0" borderId="0" xfId="2" applyNumberFormat="1" applyFont="1" applyFill="1" applyBorder="1" applyAlignment="1" applyProtection="1">
      <alignment horizontal="center" wrapText="1" shrinkToFit="1"/>
    </xf>
    <xf numFmtId="177" fontId="5" fillId="0" borderId="0" xfId="2" applyNumberFormat="1" applyFont="1" applyFill="1" applyBorder="1" applyAlignment="1" applyProtection="1">
      <alignment vertical="center" shrinkToFit="1"/>
    </xf>
    <xf numFmtId="0" fontId="5" fillId="18" borderId="96" xfId="2" applyFont="1" applyFill="1" applyBorder="1" applyAlignment="1" applyProtection="1">
      <alignment horizontal="center" vertical="center" textRotation="255" wrapText="1" shrinkToFit="1"/>
    </xf>
    <xf numFmtId="0" fontId="5" fillId="0" borderId="189" xfId="2" applyFont="1" applyFill="1" applyBorder="1" applyAlignment="1" applyProtection="1">
      <alignment horizontal="center"/>
    </xf>
    <xf numFmtId="224" fontId="5" fillId="0" borderId="263" xfId="2" applyNumberFormat="1" applyFont="1" applyFill="1" applyBorder="1" applyProtection="1"/>
    <xf numFmtId="224" fontId="5" fillId="0" borderId="64" xfId="2" applyNumberFormat="1" applyFont="1" applyFill="1" applyBorder="1" applyProtection="1"/>
    <xf numFmtId="225" fontId="5" fillId="0" borderId="264" xfId="2" applyNumberFormat="1" applyFont="1" applyFill="1" applyBorder="1" applyAlignment="1" applyProtection="1">
      <alignment horizontal="right"/>
      <protection locked="0"/>
    </xf>
    <xf numFmtId="225" fontId="5" fillId="0" borderId="265" xfId="2" applyNumberFormat="1" applyFont="1" applyFill="1" applyBorder="1" applyAlignment="1" applyProtection="1">
      <alignment horizontal="right"/>
      <protection locked="0"/>
    </xf>
    <xf numFmtId="226" fontId="5" fillId="0" borderId="189" xfId="12" applyNumberFormat="1" applyFont="1" applyFill="1" applyBorder="1" applyAlignment="1" applyProtection="1">
      <alignment horizontal="right" shrinkToFit="1"/>
    </xf>
    <xf numFmtId="227" fontId="5" fillId="0" borderId="129" xfId="12" applyNumberFormat="1" applyFont="1" applyFill="1" applyBorder="1" applyAlignment="1" applyProtection="1">
      <alignment horizontal="right" shrinkToFit="1"/>
    </xf>
    <xf numFmtId="191" fontId="5" fillId="0" borderId="263" xfId="2" applyNumberFormat="1" applyFont="1" applyFill="1" applyBorder="1" applyProtection="1"/>
    <xf numFmtId="191" fontId="5" fillId="0" borderId="64" xfId="2" applyNumberFormat="1" applyFont="1" applyFill="1" applyBorder="1" applyProtection="1"/>
    <xf numFmtId="193" fontId="5" fillId="0" borderId="58" xfId="12" applyNumberFormat="1" applyFont="1" applyFill="1" applyBorder="1" applyAlignment="1" applyProtection="1">
      <alignment horizontal="center" vertical="center" shrinkToFit="1"/>
    </xf>
    <xf numFmtId="193" fontId="5" fillId="0" borderId="61" xfId="12" applyNumberFormat="1" applyFont="1" applyFill="1" applyBorder="1" applyAlignment="1" applyProtection="1">
      <alignment horizontal="center" vertical="center" shrinkToFit="1"/>
    </xf>
    <xf numFmtId="193" fontId="5" fillId="0" borderId="221" xfId="12" applyNumberFormat="1" applyFont="1" applyFill="1" applyBorder="1" applyAlignment="1" applyProtection="1">
      <alignment horizontal="center" vertical="center" shrinkToFit="1"/>
    </xf>
    <xf numFmtId="208" fontId="5" fillId="0" borderId="13" xfId="2" applyNumberFormat="1" applyFont="1" applyFill="1" applyBorder="1" applyAlignment="1" applyProtection="1">
      <alignment vertical="center"/>
      <protection locked="0"/>
    </xf>
    <xf numFmtId="0" fontId="5" fillId="0" borderId="79" xfId="2" applyFont="1" applyFill="1" applyBorder="1" applyAlignment="1" applyProtection="1">
      <alignment horizontal="center"/>
      <protection locked="0"/>
    </xf>
    <xf numFmtId="224" fontId="5" fillId="0" borderId="239" xfId="2" applyNumberFormat="1" applyFont="1" applyFill="1" applyBorder="1" applyProtection="1"/>
    <xf numFmtId="224" fontId="5" fillId="0" borderId="68" xfId="2" applyNumberFormat="1" applyFont="1" applyFill="1" applyBorder="1" applyProtection="1"/>
    <xf numFmtId="225" fontId="5" fillId="0" borderId="266" xfId="2" applyNumberFormat="1" applyFont="1" applyFill="1" applyBorder="1" applyAlignment="1" applyProtection="1">
      <alignment horizontal="right"/>
      <protection locked="0"/>
    </xf>
    <xf numFmtId="225" fontId="5" fillId="0" borderId="205" xfId="2" applyNumberFormat="1" applyFont="1" applyFill="1" applyBorder="1" applyAlignment="1" applyProtection="1">
      <alignment horizontal="right"/>
      <protection locked="0"/>
    </xf>
    <xf numFmtId="226" fontId="5" fillId="0" borderId="79" xfId="12" applyNumberFormat="1" applyFont="1" applyFill="1" applyBorder="1" applyAlignment="1" applyProtection="1">
      <alignment horizontal="right" shrinkToFit="1"/>
    </xf>
    <xf numFmtId="227" fontId="5" fillId="0" borderId="204" xfId="12" applyNumberFormat="1" applyFont="1" applyFill="1" applyBorder="1" applyAlignment="1" applyProtection="1">
      <alignment horizontal="right" shrinkToFit="1"/>
    </xf>
    <xf numFmtId="191" fontId="5" fillId="0" borderId="239" xfId="2" applyNumberFormat="1" applyFont="1" applyFill="1" applyBorder="1" applyProtection="1"/>
    <xf numFmtId="191" fontId="5" fillId="0" borderId="68" xfId="2" applyNumberFormat="1" applyFont="1" applyFill="1" applyBorder="1" applyProtection="1"/>
    <xf numFmtId="207" fontId="5" fillId="3" borderId="8"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wrapText="1"/>
    </xf>
    <xf numFmtId="207" fontId="5" fillId="3" borderId="10" xfId="2" applyNumberFormat="1" applyFont="1" applyFill="1" applyBorder="1" applyAlignment="1" applyProtection="1">
      <alignment horizontal="center" vertical="center"/>
    </xf>
    <xf numFmtId="0" fontId="5" fillId="18" borderId="267" xfId="2" applyFont="1" applyFill="1" applyBorder="1" applyAlignment="1" applyProtection="1">
      <alignment horizontal="center" vertical="center" textRotation="255" wrapText="1" shrinkToFit="1"/>
    </xf>
    <xf numFmtId="207" fontId="5" fillId="3" borderId="11" xfId="2" applyNumberFormat="1" applyFont="1" applyFill="1" applyBorder="1" applyAlignment="1" applyProtection="1">
      <alignment horizontal="center" vertical="center"/>
    </xf>
    <xf numFmtId="207" fontId="5" fillId="3" borderId="12" xfId="2" applyNumberFormat="1" applyFont="1" applyFill="1" applyBorder="1" applyAlignment="1" applyProtection="1">
      <alignment horizontal="center" vertical="center"/>
    </xf>
    <xf numFmtId="207" fontId="5" fillId="3" borderId="13"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xf>
    <xf numFmtId="228" fontId="5" fillId="0" borderId="0" xfId="12" applyNumberFormat="1" applyFont="1" applyFill="1" applyBorder="1" applyAlignment="1" applyProtection="1">
      <alignment vertical="center"/>
    </xf>
    <xf numFmtId="0" fontId="5" fillId="3" borderId="3" xfId="2" applyFont="1" applyFill="1" applyBorder="1" applyAlignment="1" applyProtection="1">
      <alignment horizontal="center" vertical="center"/>
    </xf>
    <xf numFmtId="0" fontId="5" fillId="3" borderId="236" xfId="2" applyFont="1" applyFill="1" applyBorder="1" applyAlignment="1" applyProtection="1">
      <alignment horizontal="center" vertical="center"/>
    </xf>
    <xf numFmtId="0" fontId="5" fillId="3" borderId="3" xfId="2" applyFont="1" applyFill="1" applyBorder="1" applyAlignment="1" applyProtection="1">
      <alignment horizontal="center"/>
    </xf>
    <xf numFmtId="0" fontId="5" fillId="3" borderId="236" xfId="2" applyFont="1" applyFill="1" applyBorder="1" applyAlignment="1" applyProtection="1">
      <alignment horizontal="center"/>
    </xf>
    <xf numFmtId="207" fontId="5" fillId="0" borderId="96" xfId="2" applyNumberFormat="1" applyFont="1" applyFill="1" applyBorder="1" applyAlignment="1" applyProtection="1">
      <alignment horizontal="center" vertical="center"/>
    </xf>
    <xf numFmtId="207" fontId="5" fillId="0" borderId="249" xfId="2" applyNumberFormat="1" applyFont="1" applyFill="1" applyBorder="1" applyAlignment="1" applyProtection="1">
      <alignment horizontal="center" vertical="center"/>
    </xf>
    <xf numFmtId="207" fontId="5" fillId="0" borderId="48" xfId="2" applyNumberFormat="1" applyFont="1" applyFill="1" applyBorder="1" applyAlignment="1" applyProtection="1">
      <alignment vertical="center" shrinkToFit="1"/>
    </xf>
    <xf numFmtId="207" fontId="5" fillId="0" borderId="268" xfId="2" applyNumberFormat="1" applyFont="1" applyFill="1" applyBorder="1" applyAlignment="1" applyProtection="1">
      <alignment vertical="center" shrinkToFit="1"/>
    </xf>
    <xf numFmtId="0" fontId="5" fillId="0" borderId="269" xfId="2" applyFont="1" applyFill="1" applyBorder="1" applyAlignment="1" applyProtection="1">
      <alignment horizontal="left" indent="1"/>
    </xf>
    <xf numFmtId="224" fontId="5" fillId="0" borderId="77" xfId="2" applyNumberFormat="1" applyFont="1" applyFill="1" applyBorder="1" applyProtection="1"/>
    <xf numFmtId="229" fontId="5" fillId="0" borderId="77" xfId="2" applyNumberFormat="1" applyFont="1" applyFill="1" applyBorder="1" applyAlignment="1" applyProtection="1">
      <alignment horizontal="right"/>
      <protection locked="0"/>
    </xf>
    <xf numFmtId="229" fontId="5" fillId="0" borderId="265" xfId="2" applyNumberFormat="1" applyFont="1" applyFill="1" applyBorder="1" applyAlignment="1" applyProtection="1">
      <alignment horizontal="right"/>
      <protection locked="0"/>
    </xf>
    <xf numFmtId="0" fontId="5" fillId="0" borderId="269" xfId="2" applyFont="1" applyFill="1" applyBorder="1" applyAlignment="1" applyProtection="1"/>
    <xf numFmtId="207" fontId="5" fillId="0" borderId="97" xfId="2" applyNumberFormat="1" applyFont="1" applyFill="1" applyBorder="1" applyAlignment="1" applyProtection="1">
      <alignment horizontal="center" vertical="center"/>
    </xf>
    <xf numFmtId="207" fontId="5" fillId="0" borderId="49" xfId="2" applyNumberFormat="1" applyFont="1" applyFill="1" applyBorder="1" applyAlignment="1" applyProtection="1">
      <alignment horizontal="center" vertical="center"/>
    </xf>
    <xf numFmtId="207" fontId="5" fillId="0" borderId="15" xfId="2" applyNumberFormat="1" applyFont="1" applyFill="1" applyBorder="1" applyAlignment="1" applyProtection="1">
      <alignment vertical="center" shrinkToFit="1"/>
    </xf>
    <xf numFmtId="207" fontId="5" fillId="0" borderId="16" xfId="2" applyNumberFormat="1" applyFont="1" applyFill="1" applyBorder="1" applyAlignment="1" applyProtection="1">
      <alignment vertical="center" shrinkToFit="1"/>
    </xf>
    <xf numFmtId="0" fontId="5" fillId="0" borderId="252" xfId="2" applyFont="1" applyFill="1" applyBorder="1" applyAlignment="1" applyProtection="1">
      <alignment horizontal="left" indent="1"/>
      <protection locked="0"/>
    </xf>
    <xf numFmtId="0" fontId="5" fillId="0" borderId="253" xfId="2" applyFont="1" applyFill="1" applyBorder="1" applyAlignment="1" applyProtection="1">
      <alignment horizontal="center" shrinkToFit="1"/>
    </xf>
    <xf numFmtId="0" fontId="5" fillId="0" borderId="270" xfId="2" applyFont="1" applyFill="1" applyBorder="1" applyAlignment="1" applyProtection="1">
      <alignment horizontal="center" shrinkToFit="1"/>
    </xf>
    <xf numFmtId="227" fontId="5" fillId="0" borderId="79" xfId="12" applyNumberFormat="1" applyFont="1" applyFill="1" applyBorder="1" applyAlignment="1" applyProtection="1">
      <alignment horizontal="right" shrinkToFit="1"/>
    </xf>
    <xf numFmtId="227" fontId="5" fillId="0" borderId="240" xfId="2" applyNumberFormat="1" applyFont="1" applyFill="1" applyBorder="1" applyAlignment="1" applyProtection="1">
      <alignment horizontal="right" shrinkToFit="1"/>
      <protection locked="0"/>
    </xf>
    <xf numFmtId="0" fontId="5" fillId="0" borderId="252" xfId="2" applyFont="1" applyFill="1" applyBorder="1" applyAlignment="1" applyProtection="1">
      <protection locked="0"/>
    </xf>
    <xf numFmtId="202" fontId="5" fillId="13" borderId="271" xfId="2" applyNumberFormat="1" applyFont="1" applyFill="1" applyBorder="1" applyAlignment="1" applyProtection="1">
      <alignment horizontal="center" vertical="center" wrapText="1"/>
      <protection locked="0"/>
    </xf>
    <xf numFmtId="202" fontId="5" fillId="13" borderId="147" xfId="2" applyNumberFormat="1" applyFont="1" applyFill="1" applyBorder="1" applyAlignment="1" applyProtection="1">
      <alignment horizontal="center" vertical="center" wrapText="1"/>
      <protection locked="0"/>
    </xf>
    <xf numFmtId="202" fontId="5" fillId="14" borderId="272" xfId="2" applyNumberFormat="1" applyFont="1" applyFill="1" applyBorder="1" applyAlignment="1" applyProtection="1">
      <alignment horizontal="center" vertical="center" wrapText="1"/>
      <protection locked="0"/>
    </xf>
    <xf numFmtId="202" fontId="5" fillId="14" borderId="147" xfId="2" applyNumberFormat="1" applyFont="1" applyFill="1" applyBorder="1" applyAlignment="1" applyProtection="1">
      <alignment horizontal="center" vertical="center" wrapText="1"/>
      <protection locked="0"/>
    </xf>
    <xf numFmtId="202" fontId="5" fillId="15" borderId="272" xfId="2" applyNumberFormat="1" applyFont="1" applyFill="1" applyBorder="1" applyAlignment="1" applyProtection="1">
      <alignment horizontal="center" vertical="center" wrapText="1"/>
      <protection locked="0"/>
    </xf>
    <xf numFmtId="202" fontId="5" fillId="15" borderId="147" xfId="2" applyNumberFormat="1" applyFont="1" applyFill="1" applyBorder="1" applyAlignment="1" applyProtection="1">
      <alignment horizontal="center" vertical="center" wrapText="1"/>
      <protection locked="0"/>
    </xf>
    <xf numFmtId="202" fontId="18" fillId="19" borderId="272" xfId="2" applyNumberFormat="1" applyFont="1" applyFill="1" applyBorder="1" applyAlignment="1" applyProtection="1">
      <alignment horizontal="center" vertical="center" wrapText="1"/>
      <protection locked="0"/>
    </xf>
    <xf numFmtId="202" fontId="18" fillId="19" borderId="147" xfId="2" applyNumberFormat="1" applyFont="1" applyFill="1" applyBorder="1" applyAlignment="1" applyProtection="1">
      <alignment horizontal="center" vertical="center" wrapText="1"/>
      <protection locked="0"/>
    </xf>
    <xf numFmtId="202" fontId="18" fillId="19" borderId="127" xfId="2" applyNumberFormat="1" applyFont="1" applyFill="1" applyBorder="1" applyAlignment="1" applyProtection="1">
      <alignment horizontal="center" vertical="center" wrapText="1"/>
      <protection locked="0"/>
    </xf>
    <xf numFmtId="181" fontId="5" fillId="0" borderId="0" xfId="2" applyNumberFormat="1" applyFont="1" applyFill="1" applyBorder="1" applyAlignment="1" applyProtection="1">
      <alignment vertical="center"/>
      <protection locked="0"/>
    </xf>
    <xf numFmtId="207" fontId="5" fillId="0" borderId="273" xfId="2" applyNumberFormat="1" applyFont="1" applyFill="1" applyBorder="1" applyAlignment="1" applyProtection="1">
      <alignment horizontal="center" vertical="center"/>
    </xf>
    <xf numFmtId="207" fontId="5" fillId="0" borderId="274" xfId="2" applyNumberFormat="1" applyFont="1" applyFill="1" applyBorder="1" applyAlignment="1" applyProtection="1">
      <alignment horizontal="center" vertical="center"/>
    </xf>
    <xf numFmtId="207" fontId="5" fillId="0" borderId="50" xfId="2" applyNumberFormat="1" applyFont="1" applyFill="1" applyBorder="1" applyAlignment="1" applyProtection="1">
      <alignment vertical="center" shrinkToFit="1"/>
    </xf>
    <xf numFmtId="207" fontId="5" fillId="0" borderId="275" xfId="2" applyNumberFormat="1" applyFont="1" applyFill="1" applyBorder="1" applyAlignment="1" applyProtection="1">
      <alignment vertical="center" shrinkToFit="1"/>
    </xf>
    <xf numFmtId="3" fontId="5" fillId="0" borderId="133" xfId="12" applyNumberFormat="1" applyFont="1" applyFill="1" applyBorder="1" applyAlignment="1" applyProtection="1">
      <alignment shrinkToFit="1"/>
    </xf>
    <xf numFmtId="0" fontId="5" fillId="18" borderId="276" xfId="2" applyFont="1" applyFill="1" applyBorder="1" applyAlignment="1" applyProtection="1">
      <alignment horizontal="center" vertical="center" textRotation="255" wrapText="1" shrinkToFit="1"/>
    </xf>
    <xf numFmtId="0" fontId="5" fillId="18" borderId="277" xfId="2" applyFont="1" applyFill="1" applyBorder="1" applyAlignment="1" applyProtection="1">
      <alignment horizontal="center" vertical="center" textRotation="255" wrapText="1" shrinkToFit="1"/>
    </xf>
    <xf numFmtId="207" fontId="5" fillId="0" borderId="15" xfId="2" applyNumberFormat="1" applyFont="1" applyFill="1" applyBorder="1" applyAlignment="1" applyProtection="1">
      <alignment vertical="center" shrinkToFit="1"/>
      <protection locked="0"/>
    </xf>
    <xf numFmtId="230" fontId="5" fillId="0" borderId="0" xfId="12" applyNumberFormat="1" applyFont="1" applyFill="1" applyBorder="1" applyAlignment="1" applyProtection="1">
      <alignment vertical="center"/>
    </xf>
    <xf numFmtId="207" fontId="5" fillId="0" borderId="0" xfId="2" applyNumberFormat="1" applyFont="1" applyFill="1" applyBorder="1" applyAlignment="1" applyProtection="1">
      <alignment vertical="center" shrinkToFit="1"/>
    </xf>
    <xf numFmtId="193" fontId="5" fillId="0" borderId="133" xfId="12" applyNumberFormat="1" applyFont="1" applyFill="1" applyBorder="1" applyAlignment="1" applyProtection="1">
      <alignment shrinkToFit="1"/>
    </xf>
    <xf numFmtId="0" fontId="5" fillId="0" borderId="278" xfId="2" applyFont="1" applyFill="1" applyBorder="1" applyAlignment="1" applyProtection="1">
      <alignment horizontal="left" indent="1"/>
    </xf>
    <xf numFmtId="0" fontId="5" fillId="0" borderId="279" xfId="2" applyFont="1" applyFill="1" applyBorder="1" applyProtection="1"/>
    <xf numFmtId="0" fontId="5" fillId="0" borderId="279" xfId="2" applyFont="1" applyFill="1" applyBorder="1" applyAlignment="1" applyProtection="1">
      <alignment horizontal="right"/>
    </xf>
    <xf numFmtId="177" fontId="5" fillId="0" borderId="280" xfId="2" applyNumberFormat="1" applyFont="1" applyFill="1" applyBorder="1" applyAlignment="1" applyProtection="1">
      <alignment horizontal="right" shrinkToFit="1"/>
    </xf>
    <xf numFmtId="3" fontId="5" fillId="0" borderId="279" xfId="12" applyNumberFormat="1" applyFont="1" applyFill="1" applyBorder="1" applyAlignment="1" applyProtection="1">
      <alignment horizontal="right" shrinkToFit="1"/>
    </xf>
    <xf numFmtId="177" fontId="5" fillId="0" borderId="281" xfId="2" applyNumberFormat="1" applyFont="1" applyFill="1" applyBorder="1" applyAlignment="1" applyProtection="1">
      <alignment horizontal="right" shrinkToFit="1"/>
    </xf>
    <xf numFmtId="3" fontId="5" fillId="0" borderId="282" xfId="12" applyNumberFormat="1" applyFont="1" applyFill="1" applyBorder="1" applyAlignment="1" applyProtection="1">
      <alignment horizontal="right" shrinkToFit="1"/>
    </xf>
    <xf numFmtId="183" fontId="5" fillId="0" borderId="280" xfId="2" applyNumberFormat="1" applyFont="1" applyFill="1" applyBorder="1" applyAlignment="1" applyProtection="1">
      <alignment horizontal="right" shrinkToFit="1"/>
    </xf>
    <xf numFmtId="177" fontId="5" fillId="0" borderId="283" xfId="2" applyNumberFormat="1" applyFont="1" applyFill="1" applyBorder="1" applyAlignment="1" applyProtection="1">
      <alignment horizontal="right" shrinkToFit="1"/>
    </xf>
    <xf numFmtId="183" fontId="5" fillId="0" borderId="281" xfId="2" applyNumberFormat="1" applyFont="1" applyFill="1" applyBorder="1" applyAlignment="1" applyProtection="1">
      <alignment horizontal="right" shrinkToFit="1"/>
    </xf>
    <xf numFmtId="3" fontId="5" fillId="0" borderId="284" xfId="12" applyNumberFormat="1" applyFont="1" applyFill="1" applyBorder="1" applyAlignment="1" applyProtection="1">
      <alignment horizontal="right" shrinkToFit="1"/>
    </xf>
    <xf numFmtId="0" fontId="5" fillId="0" borderId="285" xfId="2" applyNumberFormat="1" applyFont="1" applyFill="1" applyBorder="1" applyAlignment="1" applyProtection="1">
      <alignment vertical="center"/>
    </xf>
    <xf numFmtId="0" fontId="5" fillId="0" borderId="285" xfId="2" applyNumberFormat="1" applyFont="1" applyFill="1" applyBorder="1" applyAlignment="1" applyProtection="1">
      <alignment vertical="center"/>
      <protection locked="0"/>
    </xf>
    <xf numFmtId="0" fontId="5" fillId="0" borderId="285" xfId="12" applyNumberFormat="1" applyFont="1" applyFill="1" applyBorder="1" applyAlignment="1" applyProtection="1">
      <alignment vertical="center"/>
    </xf>
    <xf numFmtId="3" fontId="18" fillId="0" borderId="0" xfId="12" applyNumberFormat="1" applyFont="1" applyFill="1" applyBorder="1" applyAlignment="1" applyProtection="1">
      <alignment vertical="center"/>
    </xf>
    <xf numFmtId="0" fontId="5" fillId="0" borderId="286" xfId="2" applyFont="1" applyFill="1" applyBorder="1" applyAlignment="1" applyProtection="1">
      <alignment horizontal="left" indent="1"/>
    </xf>
    <xf numFmtId="0" fontId="5" fillId="0" borderId="287" xfId="2" applyFont="1" applyFill="1" applyBorder="1" applyProtection="1"/>
    <xf numFmtId="0" fontId="5" fillId="0" borderId="287" xfId="2" applyFont="1" applyFill="1" applyBorder="1" applyAlignment="1" applyProtection="1">
      <alignment horizontal="right"/>
    </xf>
    <xf numFmtId="2" fontId="5" fillId="0" borderId="288" xfId="2" applyNumberFormat="1" applyFont="1" applyFill="1" applyBorder="1" applyAlignment="1" applyProtection="1">
      <alignment horizontal="centerContinuous" shrinkToFit="1"/>
    </xf>
    <xf numFmtId="230" fontId="5" fillId="0" borderId="287" xfId="12" applyNumberFormat="1" applyFont="1" applyFill="1" applyBorder="1" applyAlignment="1" applyProtection="1">
      <alignment horizontal="centerContinuous" shrinkToFit="1"/>
    </xf>
    <xf numFmtId="2" fontId="5" fillId="0" borderId="289" xfId="2" applyNumberFormat="1" applyFont="1" applyFill="1" applyBorder="1" applyAlignment="1" applyProtection="1">
      <alignment horizontal="centerContinuous" shrinkToFit="1"/>
    </xf>
    <xf numFmtId="230" fontId="5" fillId="0" borderId="290" xfId="1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
    </xf>
    <xf numFmtId="2" fontId="5" fillId="0" borderId="291" xfId="2" applyNumberFormat="1" applyFont="1" applyFill="1" applyBorder="1" applyAlignment="1" applyProtection="1">
      <alignment horizontal="center"/>
    </xf>
    <xf numFmtId="230" fontId="5" fillId="0" borderId="133" xfId="12" applyNumberFormat="1" applyFont="1" applyFill="1" applyBorder="1" applyAlignment="1" applyProtection="1">
      <alignment horizontal="centerContinuous" shrinkToFit="1"/>
    </xf>
    <xf numFmtId="183" fontId="5" fillId="0" borderId="292" xfId="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Continuous" shrinkToFit="1"/>
    </xf>
    <xf numFmtId="183" fontId="5" fillId="0" borderId="293" xfId="2" applyNumberFormat="1" applyFont="1" applyFill="1" applyBorder="1" applyAlignment="1" applyProtection="1">
      <alignment shrinkToFit="1"/>
    </xf>
    <xf numFmtId="2" fontId="5" fillId="0" borderId="294" xfId="2" applyNumberFormat="1" applyFont="1" applyFill="1" applyBorder="1" applyAlignment="1" applyProtection="1">
      <alignment horizontal="center" shrinkToFit="1"/>
    </xf>
    <xf numFmtId="2" fontId="5" fillId="0" borderId="295" xfId="2" applyNumberFormat="1" applyFont="1" applyFill="1" applyBorder="1" applyAlignment="1" applyProtection="1">
      <alignment horizontal="center" shrinkToFit="1"/>
    </xf>
    <xf numFmtId="230" fontId="5" fillId="0" borderId="0" xfId="12" applyNumberFormat="1" applyFont="1" applyFill="1" applyBorder="1" applyAlignment="1" applyProtection="1">
      <alignment vertical="center" shrinkToFit="1"/>
    </xf>
    <xf numFmtId="0" fontId="18" fillId="0" borderId="296" xfId="2" applyFont="1" applyFill="1" applyBorder="1" applyAlignment="1" applyProtection="1">
      <alignment horizontal="left" indent="1"/>
    </xf>
    <xf numFmtId="0" fontId="18" fillId="0" borderId="224" xfId="2" applyFont="1" applyFill="1" applyBorder="1" applyProtection="1"/>
    <xf numFmtId="2" fontId="18" fillId="0" borderId="224" xfId="2" applyNumberFormat="1" applyFont="1" applyFill="1" applyBorder="1" applyAlignment="1" applyProtection="1">
      <alignment horizontal="center"/>
    </xf>
    <xf numFmtId="230" fontId="18" fillId="0" borderId="224" xfId="2" applyNumberFormat="1" applyFont="1" applyFill="1" applyBorder="1" applyAlignment="1" applyProtection="1">
      <alignment horizontal="left"/>
    </xf>
    <xf numFmtId="2" fontId="18" fillId="0" borderId="195" xfId="2" applyNumberFormat="1" applyFont="1" applyFill="1" applyBorder="1" applyAlignment="1" applyProtection="1">
      <alignment horizontal="right" shrinkToFit="1"/>
    </xf>
    <xf numFmtId="3" fontId="18" fillId="0" borderId="225" xfId="12" applyNumberFormat="1" applyFont="1" applyFill="1" applyBorder="1" applyAlignment="1" applyProtection="1">
      <alignment horizontal="right" shrinkToFit="1"/>
    </xf>
    <xf numFmtId="2" fontId="18" fillId="0" borderId="245" xfId="2" applyNumberFormat="1" applyFont="1" applyFill="1" applyBorder="1" applyAlignment="1" applyProtection="1">
      <alignment horizontal="right" shrinkToFit="1"/>
    </xf>
    <xf numFmtId="2" fontId="18" fillId="0" borderId="245" xfId="2" applyNumberFormat="1" applyFont="1" applyFill="1" applyBorder="1" applyAlignment="1" applyProtection="1">
      <alignment shrinkToFit="1"/>
    </xf>
    <xf numFmtId="3" fontId="18" fillId="0" borderId="297" xfId="12" applyNumberFormat="1" applyFont="1" applyFill="1" applyBorder="1" applyAlignment="1" applyProtection="1">
      <alignment shrinkToFit="1"/>
    </xf>
    <xf numFmtId="2" fontId="18" fillId="0" borderId="224" xfId="2" applyNumberFormat="1" applyFont="1" applyFill="1" applyBorder="1" applyAlignment="1" applyProtection="1">
      <alignment shrinkToFit="1"/>
    </xf>
    <xf numFmtId="3" fontId="18" fillId="0" borderId="298" xfId="12" applyNumberFormat="1" applyFont="1" applyFill="1" applyBorder="1" applyAlignment="1" applyProtection="1">
      <alignment shrinkToFit="1"/>
    </xf>
    <xf numFmtId="3" fontId="18" fillId="0" borderId="133" xfId="12" applyNumberFormat="1" applyFont="1" applyFill="1" applyBorder="1" applyAlignment="1" applyProtection="1">
      <alignment shrinkToFit="1"/>
    </xf>
    <xf numFmtId="183" fontId="18" fillId="0" borderId="299" xfId="2" applyNumberFormat="1" applyFont="1" applyFill="1" applyBorder="1" applyAlignment="1" applyProtection="1">
      <alignment horizontal="right" shrinkToFit="1"/>
    </xf>
    <xf numFmtId="2" fontId="18" fillId="0" borderId="224" xfId="2" applyNumberFormat="1" applyFont="1" applyFill="1" applyBorder="1" applyAlignment="1" applyProtection="1">
      <alignment horizontal="right" shrinkToFit="1"/>
    </xf>
    <xf numFmtId="183" fontId="18" fillId="0" borderId="228" xfId="2" applyNumberFormat="1" applyFont="1" applyFill="1" applyBorder="1" applyAlignment="1" applyProtection="1">
      <alignment horizontal="right" shrinkToFit="1"/>
    </xf>
    <xf numFmtId="3" fontId="18" fillId="0" borderId="229" xfId="12" applyNumberFormat="1" applyFont="1" applyFill="1" applyBorder="1" applyAlignment="1" applyProtection="1">
      <alignment horizontal="right" shrinkToFit="1"/>
    </xf>
    <xf numFmtId="183" fontId="18" fillId="0" borderId="224"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center" shrinkToFit="1"/>
    </xf>
    <xf numFmtId="3" fontId="18" fillId="0" borderId="226" xfId="1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shrinkToFit="1"/>
    </xf>
    <xf numFmtId="0" fontId="5" fillId="18" borderId="300" xfId="2" applyFont="1" applyFill="1" applyBorder="1" applyAlignment="1" applyProtection="1">
      <alignment horizontal="center" vertical="center" textRotation="255" wrapText="1"/>
    </xf>
    <xf numFmtId="0" fontId="5" fillId="3" borderId="2" xfId="2" applyFont="1" applyFill="1" applyBorder="1" applyAlignment="1" applyProtection="1">
      <alignment horizontal="left" vertical="center"/>
    </xf>
    <xf numFmtId="3" fontId="5" fillId="3" borderId="3" xfId="12" applyNumberFormat="1" applyFont="1" applyFill="1" applyBorder="1" applyAlignment="1" applyProtection="1">
      <alignment horizontal="center" vertical="center" shrinkToFit="1"/>
    </xf>
    <xf numFmtId="3" fontId="5" fillId="3" borderId="301" xfId="12" applyNumberFormat="1" applyFont="1" applyFill="1" applyBorder="1" applyAlignment="1" applyProtection="1">
      <alignment vertical="center" shrinkToFit="1"/>
    </xf>
    <xf numFmtId="177" fontId="5" fillId="3" borderId="3" xfId="2" applyNumberFormat="1" applyFont="1" applyFill="1" applyBorder="1" applyAlignment="1" applyProtection="1">
      <alignment horizontal="center" vertical="center" shrinkToFit="1"/>
    </xf>
    <xf numFmtId="3" fontId="5" fillId="3" borderId="302" xfId="12" applyNumberFormat="1" applyFont="1" applyFill="1" applyBorder="1" applyAlignment="1" applyProtection="1">
      <alignment vertical="center" shrinkToFit="1"/>
    </xf>
    <xf numFmtId="183" fontId="5" fillId="3" borderId="248" xfId="2" applyNumberFormat="1" applyFont="1" applyFill="1" applyBorder="1" applyAlignment="1" applyProtection="1">
      <alignment horizontal="center" vertical="center" shrinkToFit="1"/>
    </xf>
    <xf numFmtId="3" fontId="5" fillId="3" borderId="236" xfId="12" applyNumberFormat="1" applyFont="1" applyFill="1" applyBorder="1" applyAlignment="1" applyProtection="1">
      <alignment horizontal="center" vertical="center" shrinkToFit="1"/>
    </xf>
    <xf numFmtId="183" fontId="5" fillId="3" borderId="232" xfId="2" applyNumberFormat="1" applyFont="1" applyFill="1" applyBorder="1" applyAlignment="1" applyProtection="1">
      <alignment horizontal="center" vertical="center" shrinkToFit="1"/>
    </xf>
    <xf numFmtId="3" fontId="5" fillId="3" borderId="4" xfId="12" applyNumberFormat="1" applyFont="1" applyFill="1" applyBorder="1" applyAlignment="1" applyProtection="1">
      <alignment horizontal="center" vertical="center" shrinkToFit="1"/>
    </xf>
    <xf numFmtId="0" fontId="5" fillId="18" borderId="36" xfId="2" applyFont="1" applyFill="1" applyBorder="1" applyAlignment="1" applyProtection="1">
      <alignment horizontal="center" vertical="center" textRotation="255" wrapText="1"/>
    </xf>
    <xf numFmtId="0" fontId="5" fillId="0" borderId="189" xfId="2" applyNumberFormat="1" applyFont="1" applyFill="1" applyBorder="1" applyAlignment="1" applyProtection="1">
      <alignment horizontal="left" shrinkToFit="1"/>
      <protection locked="0"/>
    </xf>
    <xf numFmtId="0" fontId="5" fillId="0" borderId="189" xfId="2" applyFont="1" applyFill="1" applyBorder="1" applyAlignment="1" applyProtection="1">
      <alignment horizontal="left" shrinkToFit="1"/>
    </xf>
    <xf numFmtId="0" fontId="5" fillId="0" borderId="192" xfId="2" applyNumberFormat="1" applyFont="1" applyFill="1" applyBorder="1" applyAlignment="1" applyProtection="1">
      <alignment shrinkToFit="1"/>
      <protection locked="0"/>
    </xf>
    <xf numFmtId="193" fontId="5" fillId="0" borderId="303" xfId="12" applyNumberFormat="1" applyFont="1" applyFill="1" applyBorder="1" applyAlignment="1" applyProtection="1">
      <alignment shrinkToFit="1"/>
    </xf>
    <xf numFmtId="0" fontId="5" fillId="0" borderId="128" xfId="2" applyNumberFormat="1" applyFont="1" applyFill="1" applyBorder="1" applyAlignment="1" applyProtection="1">
      <alignment shrinkToFit="1"/>
      <protection locked="0"/>
    </xf>
    <xf numFmtId="193" fontId="5" fillId="0" borderId="129" xfId="12" applyNumberFormat="1" applyFont="1" applyFill="1" applyBorder="1" applyAlignment="1" applyProtection="1">
      <alignment shrinkToFit="1"/>
    </xf>
    <xf numFmtId="183" fontId="5" fillId="13" borderId="304" xfId="2" applyNumberFormat="1" applyFont="1" applyFill="1" applyBorder="1" applyAlignment="1" applyProtection="1">
      <alignment horizontal="center" wrapText="1" shrinkToFit="1"/>
      <protection locked="0"/>
    </xf>
    <xf numFmtId="183" fontId="5" fillId="13" borderId="305" xfId="2" applyNumberFormat="1" applyFont="1" applyFill="1" applyBorder="1" applyAlignment="1" applyProtection="1">
      <alignment horizontal="center" wrapText="1" shrinkToFit="1"/>
      <protection locked="0"/>
    </xf>
    <xf numFmtId="183" fontId="5" fillId="14" borderId="198" xfId="2" applyNumberFormat="1" applyFont="1" applyFill="1" applyBorder="1" applyAlignment="1" applyProtection="1">
      <alignment horizontal="center" wrapText="1" shrinkToFit="1"/>
      <protection locked="0"/>
    </xf>
    <xf numFmtId="183" fontId="5" fillId="14" borderId="305" xfId="2" applyNumberFormat="1" applyFont="1" applyFill="1" applyBorder="1" applyAlignment="1" applyProtection="1">
      <alignment horizontal="center" wrapText="1" shrinkToFit="1"/>
      <protection locked="0"/>
    </xf>
    <xf numFmtId="183" fontId="5" fillId="15" borderId="198" xfId="2" applyNumberFormat="1" applyFont="1" applyFill="1" applyBorder="1" applyAlignment="1" applyProtection="1">
      <alignment horizontal="center" wrapText="1" shrinkToFit="1"/>
      <protection locked="0"/>
    </xf>
    <xf numFmtId="183" fontId="5" fillId="15" borderId="305" xfId="2" applyNumberFormat="1" applyFont="1" applyFill="1" applyBorder="1" applyAlignment="1" applyProtection="1">
      <alignment horizontal="center" wrapText="1" shrinkToFit="1"/>
      <protection locked="0"/>
    </xf>
    <xf numFmtId="183" fontId="18" fillId="19" borderId="198" xfId="2" applyNumberFormat="1" applyFont="1" applyFill="1" applyBorder="1" applyAlignment="1" applyProtection="1">
      <alignment horizontal="center" wrapText="1" shrinkToFit="1"/>
      <protection locked="0"/>
    </xf>
    <xf numFmtId="183" fontId="18" fillId="19" borderId="305" xfId="2" applyNumberFormat="1" applyFont="1" applyFill="1" applyBorder="1" applyAlignment="1" applyProtection="1">
      <alignment horizontal="center" wrapText="1" shrinkToFit="1"/>
      <protection locked="0"/>
    </xf>
    <xf numFmtId="183" fontId="18" fillId="19" borderId="125" xfId="2" applyNumberFormat="1" applyFont="1" applyFill="1" applyBorder="1" applyAlignment="1" applyProtection="1">
      <alignment horizontal="center" wrapText="1" shrinkToFit="1"/>
      <protection locked="0"/>
    </xf>
    <xf numFmtId="207" fontId="5" fillId="0" borderId="133" xfId="2" applyNumberFormat="1" applyFont="1" applyFill="1" applyBorder="1" applyAlignment="1" applyProtection="1">
      <alignment horizontal="right" shrinkToFit="1"/>
    </xf>
    <xf numFmtId="0" fontId="5" fillId="0" borderId="79" xfId="2" applyFont="1" applyFill="1" applyBorder="1" applyAlignment="1" applyProtection="1">
      <alignment shrinkToFit="1"/>
    </xf>
    <xf numFmtId="200" fontId="5" fillId="0" borderId="79" xfId="2" applyNumberFormat="1" applyFont="1" applyFill="1" applyBorder="1" applyProtection="1"/>
    <xf numFmtId="231" fontId="5" fillId="0" borderId="79" xfId="2" applyNumberFormat="1" applyFont="1" applyFill="1" applyBorder="1" applyAlignment="1" applyProtection="1">
      <alignment horizontal="center" shrinkToFit="1"/>
    </xf>
    <xf numFmtId="0" fontId="5" fillId="0" borderId="79" xfId="2" applyFont="1" applyFill="1" applyBorder="1" applyAlignment="1" applyProtection="1">
      <alignment horizontal="left" shrinkToFit="1"/>
      <protection locked="0"/>
    </xf>
    <xf numFmtId="232" fontId="5" fillId="0" borderId="201"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shrinkToFit="1"/>
      <protection locked="0"/>
    </xf>
    <xf numFmtId="193" fontId="5" fillId="0" borderId="306" xfId="12" applyNumberFormat="1" applyFont="1" applyFill="1" applyBorder="1" applyAlignment="1" applyProtection="1">
      <alignment shrinkToFit="1"/>
    </xf>
    <xf numFmtId="232" fontId="5" fillId="0" borderId="68" xfId="2" applyNumberFormat="1" applyFont="1" applyFill="1" applyBorder="1" applyAlignment="1" applyProtection="1">
      <alignment shrinkToFit="1"/>
      <protection locked="0"/>
    </xf>
    <xf numFmtId="193" fontId="5" fillId="0" borderId="204" xfId="12" applyNumberFormat="1" applyFont="1" applyFill="1" applyBorder="1" applyAlignment="1" applyProtection="1">
      <alignment shrinkToFit="1"/>
    </xf>
    <xf numFmtId="233" fontId="5" fillId="0" borderId="68" xfId="2" applyNumberFormat="1" applyFont="1" applyFill="1" applyBorder="1" applyAlignment="1" applyProtection="1">
      <alignment horizontal="right" shrinkToFit="1"/>
      <protection locked="0"/>
    </xf>
    <xf numFmtId="183" fontId="5" fillId="13" borderId="179" xfId="2" applyNumberFormat="1" applyFont="1" applyFill="1" applyBorder="1" applyAlignment="1" applyProtection="1">
      <alignment horizontal="center" wrapText="1" shrinkToFit="1"/>
      <protection locked="0"/>
    </xf>
    <xf numFmtId="183" fontId="5" fillId="13" borderId="206" xfId="2" applyNumberFormat="1" applyFont="1" applyFill="1" applyBorder="1" applyAlignment="1" applyProtection="1">
      <alignment horizontal="center" wrapText="1" shrinkToFit="1"/>
      <protection locked="0"/>
    </xf>
    <xf numFmtId="183" fontId="5" fillId="14" borderId="157" xfId="2" applyNumberFormat="1" applyFont="1" applyFill="1" applyBorder="1" applyAlignment="1" applyProtection="1">
      <alignment horizontal="center" wrapText="1" shrinkToFit="1"/>
      <protection locked="0"/>
    </xf>
    <xf numFmtId="183" fontId="5" fillId="14" borderId="206" xfId="2" applyNumberFormat="1" applyFont="1" applyFill="1" applyBorder="1" applyAlignment="1" applyProtection="1">
      <alignment horizontal="center" wrapText="1" shrinkToFit="1"/>
      <protection locked="0"/>
    </xf>
    <xf numFmtId="183" fontId="5" fillId="15" borderId="157" xfId="2" applyNumberFormat="1" applyFont="1" applyFill="1" applyBorder="1" applyAlignment="1" applyProtection="1">
      <alignment horizontal="center" wrapText="1" shrinkToFit="1"/>
      <protection locked="0"/>
    </xf>
    <xf numFmtId="183" fontId="5" fillId="15" borderId="206" xfId="2" applyNumberFormat="1" applyFont="1" applyFill="1" applyBorder="1" applyAlignment="1" applyProtection="1">
      <alignment horizontal="center" wrapText="1" shrinkToFit="1"/>
      <protection locked="0"/>
    </xf>
    <xf numFmtId="183" fontId="18" fillId="19" borderId="157" xfId="2" applyNumberFormat="1" applyFont="1" applyFill="1" applyBorder="1" applyAlignment="1" applyProtection="1">
      <alignment horizontal="center" wrapText="1" shrinkToFit="1"/>
      <protection locked="0"/>
    </xf>
    <xf numFmtId="183" fontId="18" fillId="19" borderId="206" xfId="2" applyNumberFormat="1" applyFont="1" applyFill="1" applyBorder="1" applyAlignment="1" applyProtection="1">
      <alignment horizontal="center" wrapText="1" shrinkToFit="1"/>
      <protection locked="0"/>
    </xf>
    <xf numFmtId="183" fontId="18" fillId="19" borderId="38" xfId="2" applyNumberFormat="1" applyFont="1" applyFill="1" applyBorder="1" applyAlignment="1" applyProtection="1">
      <alignment horizontal="center" wrapText="1" shrinkToFit="1"/>
      <protection locked="0"/>
    </xf>
    <xf numFmtId="202" fontId="5" fillId="0" borderId="133" xfId="2" applyNumberFormat="1" applyFont="1" applyFill="1" applyBorder="1" applyAlignment="1" applyProtection="1"/>
    <xf numFmtId="0" fontId="5" fillId="18" borderId="116" xfId="2" applyFont="1" applyFill="1" applyBorder="1" applyAlignment="1" applyProtection="1">
      <alignment horizontal="center" vertical="center" textRotation="255" wrapText="1"/>
    </xf>
    <xf numFmtId="0" fontId="5" fillId="0" borderId="0" xfId="2" applyFont="1" applyFill="1" applyBorder="1" applyAlignment="1" applyProtection="1">
      <alignment shrinkToFit="1"/>
      <protection locked="0"/>
    </xf>
    <xf numFmtId="0" fontId="5" fillId="0" borderId="0" xfId="2" applyFont="1" applyFill="1" applyBorder="1" applyAlignment="1" applyProtection="1">
      <alignment horizontal="left" shrinkToFit="1"/>
    </xf>
    <xf numFmtId="0" fontId="5" fillId="0" borderId="255" xfId="2" applyNumberFormat="1" applyFont="1" applyFill="1" applyBorder="1" applyAlignment="1" applyProtection="1">
      <alignment shrinkToFit="1"/>
      <protection locked="0"/>
    </xf>
    <xf numFmtId="193" fontId="5" fillId="0" borderId="307" xfId="12" applyNumberFormat="1" applyFont="1" applyFill="1" applyBorder="1" applyAlignment="1" applyProtection="1">
      <alignment shrinkToFit="1"/>
    </xf>
    <xf numFmtId="0" fontId="5" fillId="0" borderId="40" xfId="2" applyNumberFormat="1" applyFont="1" applyFill="1" applyBorder="1" applyAlignment="1" applyProtection="1">
      <alignment shrinkToFit="1"/>
      <protection locked="0"/>
    </xf>
    <xf numFmtId="193" fontId="5" fillId="0" borderId="38" xfId="12" applyNumberFormat="1" applyFont="1" applyFill="1" applyBorder="1" applyAlignment="1" applyProtection="1">
      <alignment shrinkToFit="1"/>
    </xf>
    <xf numFmtId="2" fontId="5" fillId="3" borderId="8" xfId="2" applyNumberFormat="1" applyFont="1" applyFill="1" applyBorder="1" applyAlignment="1" applyProtection="1">
      <alignment horizontal="center" vertical="center"/>
    </xf>
    <xf numFmtId="2" fontId="5" fillId="3" borderId="9" xfId="2" applyNumberFormat="1" applyFont="1" applyFill="1" applyBorder="1" applyAlignment="1" applyProtection="1">
      <alignment horizontal="center" vertical="center" wrapText="1"/>
    </xf>
    <xf numFmtId="2" fontId="5" fillId="3" borderId="9" xfId="2" applyNumberFormat="1" applyFont="1" applyFill="1" applyBorder="1" applyAlignment="1" applyProtection="1">
      <alignment horizontal="center" vertical="center"/>
    </xf>
    <xf numFmtId="2" fontId="5" fillId="3" borderId="6" xfId="2" applyNumberFormat="1" applyFont="1" applyFill="1" applyBorder="1" applyAlignment="1" applyProtection="1">
      <alignment horizontal="center" vertical="center" wrapText="1"/>
    </xf>
    <xf numFmtId="2" fontId="5" fillId="3" borderId="7" xfId="2" applyNumberFormat="1" applyFont="1" applyFill="1" applyBorder="1" applyAlignment="1" applyProtection="1">
      <alignment horizontal="center" vertical="center" wrapText="1"/>
    </xf>
    <xf numFmtId="0" fontId="18" fillId="0" borderId="0" xfId="2" applyFont="1" applyFill="1" applyBorder="1" applyAlignment="1" applyProtection="1">
      <alignment vertical="center"/>
    </xf>
    <xf numFmtId="3" fontId="5" fillId="0" borderId="133" xfId="12" applyNumberFormat="1" applyFont="1" applyFill="1" applyBorder="1" applyAlignment="1" applyProtection="1">
      <alignment horizontal="center" shrinkToFit="1"/>
    </xf>
    <xf numFmtId="0" fontId="18" fillId="0" borderId="308" xfId="2" applyFont="1" applyFill="1" applyBorder="1" applyAlignment="1" applyProtection="1">
      <alignment horizontal="left" indent="1"/>
    </xf>
    <xf numFmtId="0" fontId="18" fillId="0" borderId="309" xfId="2" applyFont="1" applyFill="1" applyBorder="1" applyProtection="1"/>
    <xf numFmtId="0" fontId="18" fillId="0" borderId="310" xfId="2" applyFont="1" applyFill="1" applyBorder="1" applyProtection="1"/>
    <xf numFmtId="0" fontId="18" fillId="0" borderId="310" xfId="2" applyFont="1" applyFill="1" applyBorder="1" applyAlignment="1" applyProtection="1"/>
    <xf numFmtId="0" fontId="18" fillId="0" borderId="311" xfId="2" applyFont="1" applyFill="1" applyBorder="1" applyAlignment="1" applyProtection="1">
      <alignment horizontal="right" shrinkToFit="1"/>
    </xf>
    <xf numFmtId="3" fontId="18" fillId="0" borderId="310" xfId="12" applyNumberFormat="1" applyFont="1" applyFill="1" applyBorder="1" applyAlignment="1" applyProtection="1">
      <alignment horizontal="right" shrinkToFit="1"/>
    </xf>
    <xf numFmtId="0" fontId="18" fillId="0" borderId="312" xfId="2" applyFont="1" applyFill="1" applyBorder="1" applyAlignment="1" applyProtection="1">
      <alignment horizontal="right" shrinkToFit="1"/>
    </xf>
    <xf numFmtId="0" fontId="18" fillId="0" borderId="312" xfId="2" applyFont="1" applyFill="1" applyBorder="1" applyAlignment="1" applyProtection="1">
      <alignment shrinkToFit="1"/>
    </xf>
    <xf numFmtId="3" fontId="18" fillId="0" borderId="313" xfId="12" applyNumberFormat="1" applyFont="1" applyFill="1" applyBorder="1" applyAlignment="1" applyProtection="1">
      <alignment shrinkToFit="1"/>
    </xf>
    <xf numFmtId="0" fontId="18" fillId="0" borderId="314" xfId="2" applyFont="1" applyFill="1" applyBorder="1" applyAlignment="1" applyProtection="1">
      <alignment shrinkToFit="1"/>
    </xf>
    <xf numFmtId="3" fontId="18" fillId="0" borderId="315" xfId="12" applyNumberFormat="1" applyFont="1" applyFill="1" applyBorder="1" applyAlignment="1" applyProtection="1">
      <alignment shrinkToFit="1"/>
    </xf>
    <xf numFmtId="183" fontId="18" fillId="0" borderId="311" xfId="2" applyNumberFormat="1" applyFont="1" applyFill="1" applyBorder="1" applyAlignment="1" applyProtection="1">
      <alignment horizontal="right" shrinkToFit="1"/>
    </xf>
    <xf numFmtId="0" fontId="18" fillId="0" borderId="314" xfId="2" applyFont="1" applyFill="1" applyBorder="1" applyAlignment="1" applyProtection="1">
      <alignment horizontal="right" shrinkToFit="1"/>
    </xf>
    <xf numFmtId="183" fontId="18" fillId="0" borderId="312" xfId="2" applyNumberFormat="1" applyFont="1" applyFill="1" applyBorder="1" applyAlignment="1" applyProtection="1">
      <alignment horizontal="right" shrinkToFit="1"/>
    </xf>
    <xf numFmtId="3" fontId="18" fillId="0" borderId="316" xfId="12" applyNumberFormat="1" applyFont="1" applyFill="1" applyBorder="1" applyAlignment="1" applyProtection="1">
      <alignment horizontal="right" shrinkToFit="1"/>
    </xf>
    <xf numFmtId="183" fontId="5" fillId="0" borderId="311" xfId="2" applyNumberFormat="1" applyFont="1" applyFill="1" applyBorder="1" applyAlignment="1" applyProtection="1">
      <alignment horizontal="center" wrapText="1" shrinkToFit="1"/>
      <protection locked="0"/>
    </xf>
    <xf numFmtId="3" fontId="5" fillId="0" borderId="317" xfId="2" applyNumberFormat="1" applyFont="1" applyFill="1" applyBorder="1" applyAlignment="1" applyProtection="1">
      <alignment wrapText="1" shrinkToFit="1"/>
      <protection locked="0"/>
    </xf>
    <xf numFmtId="183" fontId="5" fillId="0" borderId="312" xfId="2" applyNumberFormat="1" applyFont="1" applyFill="1" applyBorder="1" applyAlignment="1" applyProtection="1">
      <alignment horizontal="center" wrapText="1" shrinkToFit="1"/>
      <protection locked="0"/>
    </xf>
    <xf numFmtId="183" fontId="18" fillId="0" borderId="312" xfId="2" applyNumberFormat="1" applyFont="1" applyFill="1" applyBorder="1" applyAlignment="1" applyProtection="1">
      <alignment horizontal="center" shrinkToFit="1"/>
      <protection locked="0"/>
    </xf>
    <xf numFmtId="3" fontId="18" fillId="0" borderId="317" xfId="2" applyNumberFormat="1" applyFont="1" applyFill="1" applyBorder="1" applyAlignment="1" applyProtection="1">
      <alignment wrapText="1" shrinkToFit="1"/>
      <protection locked="0"/>
    </xf>
    <xf numFmtId="3" fontId="18" fillId="0" borderId="315" xfId="2" applyNumberFormat="1" applyFont="1" applyFill="1" applyBorder="1" applyAlignment="1" applyProtection="1">
      <alignment wrapText="1" shrinkToFit="1"/>
      <protection locked="0"/>
    </xf>
    <xf numFmtId="2" fontId="5" fillId="3" borderId="318" xfId="2" applyNumberFormat="1" applyFont="1" applyFill="1" applyBorder="1" applyAlignment="1" applyProtection="1">
      <alignment horizontal="center" vertical="center"/>
    </xf>
    <xf numFmtId="2" fontId="5" fillId="3" borderId="50" xfId="2" applyNumberFormat="1" applyFont="1" applyFill="1" applyBorder="1" applyAlignment="1" applyProtection="1">
      <alignment horizontal="center" vertical="center"/>
    </xf>
    <xf numFmtId="2" fontId="5" fillId="3" borderId="15" xfId="2" applyNumberFormat="1" applyFont="1" applyFill="1" applyBorder="1" applyAlignment="1" applyProtection="1">
      <alignment horizontal="center" vertical="center" wrapText="1"/>
    </xf>
    <xf numFmtId="2" fontId="5" fillId="3" borderId="16" xfId="2" applyNumberFormat="1" applyFont="1" applyFill="1" applyBorder="1" applyAlignment="1" applyProtection="1">
      <alignment horizontal="center" vertical="center" wrapText="1"/>
    </xf>
    <xf numFmtId="1" fontId="18" fillId="0" borderId="0" xfId="2" applyNumberFormat="1" applyFont="1" applyFill="1" applyBorder="1" applyAlignment="1" applyProtection="1">
      <alignment vertical="center"/>
    </xf>
    <xf numFmtId="0" fontId="18" fillId="20" borderId="319" xfId="2" applyFont="1" applyFill="1" applyBorder="1" applyAlignment="1" applyProtection="1">
      <alignment horizontal="left" indent="1"/>
    </xf>
    <xf numFmtId="0" fontId="18" fillId="20" borderId="320" xfId="2" applyFont="1" applyFill="1" applyBorder="1" applyProtection="1"/>
    <xf numFmtId="0" fontId="18" fillId="20" borderId="321" xfId="2" applyFont="1" applyFill="1" applyBorder="1" applyProtection="1"/>
    <xf numFmtId="0" fontId="18" fillId="20" borderId="321" xfId="2" applyFont="1" applyFill="1" applyBorder="1" applyAlignment="1" applyProtection="1"/>
    <xf numFmtId="0" fontId="18" fillId="20" borderId="321" xfId="2" applyFont="1" applyFill="1" applyBorder="1" applyAlignment="1" applyProtection="1">
      <alignment horizontal="right"/>
    </xf>
    <xf numFmtId="1" fontId="18" fillId="20" borderId="322"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horizontal="right" shrinkToFit="1"/>
    </xf>
    <xf numFmtId="1" fontId="18" fillId="20" borderId="323" xfId="2" applyNumberFormat="1" applyFont="1" applyFill="1" applyBorder="1" applyAlignment="1" applyProtection="1">
      <alignment horizontal="right" shrinkToFit="1"/>
    </xf>
    <xf numFmtId="1" fontId="18" fillId="20" borderId="323" xfId="2" applyNumberFormat="1" applyFont="1" applyFill="1" applyBorder="1" applyAlignment="1" applyProtection="1">
      <alignment shrinkToFit="1"/>
    </xf>
    <xf numFmtId="3" fontId="18" fillId="20" borderId="324" xfId="12" applyNumberFormat="1" applyFont="1" applyFill="1" applyBorder="1" applyAlignment="1" applyProtection="1">
      <alignment shrinkToFit="1"/>
    </xf>
    <xf numFmtId="1" fontId="18" fillId="20" borderId="325" xfId="2" applyNumberFormat="1" applyFont="1" applyFill="1" applyBorder="1" applyAlignment="1" applyProtection="1">
      <alignment shrinkToFit="1"/>
    </xf>
    <xf numFmtId="3" fontId="18" fillId="20" borderId="326" xfId="12" applyNumberFormat="1" applyFont="1" applyFill="1" applyBorder="1" applyAlignment="1" applyProtection="1">
      <alignment shrinkToFit="1"/>
    </xf>
    <xf numFmtId="183" fontId="18" fillId="20" borderId="322" xfId="2" applyNumberFormat="1" applyFont="1" applyFill="1" applyBorder="1" applyAlignment="1" applyProtection="1">
      <alignment horizontal="right" shrinkToFit="1"/>
    </xf>
    <xf numFmtId="1" fontId="18" fillId="20" borderId="325" xfId="2" applyNumberFormat="1" applyFont="1" applyFill="1" applyBorder="1" applyAlignment="1" applyProtection="1">
      <alignment horizontal="right" shrinkToFit="1"/>
    </xf>
    <xf numFmtId="183" fontId="18" fillId="20" borderId="281" xfId="2" applyNumberFormat="1" applyFont="1" applyFill="1" applyBorder="1" applyAlignment="1" applyProtection="1">
      <alignment horizontal="right" shrinkToFit="1"/>
    </xf>
    <xf numFmtId="3" fontId="18" fillId="20" borderId="327" xfId="12" applyNumberFormat="1" applyFont="1" applyFill="1" applyBorder="1" applyAlignment="1" applyProtection="1">
      <alignment horizontal="right" shrinkToFit="1"/>
    </xf>
    <xf numFmtId="183" fontId="18" fillId="20" borderId="325"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wrapText="1" shrinkToFit="1"/>
    </xf>
    <xf numFmtId="183" fontId="18" fillId="20" borderId="323" xfId="2" applyNumberFormat="1" applyFont="1" applyFill="1" applyBorder="1" applyAlignment="1" applyProtection="1">
      <alignment horizontal="right" shrinkToFit="1"/>
    </xf>
    <xf numFmtId="183" fontId="18" fillId="20" borderId="323" xfId="2" applyNumberFormat="1" applyFont="1" applyFill="1" applyBorder="1" applyAlignment="1" applyProtection="1">
      <alignment horizontal="center" shrinkToFit="1"/>
    </xf>
    <xf numFmtId="3" fontId="18" fillId="20" borderId="326" xfId="12" applyNumberFormat="1" applyFont="1" applyFill="1" applyBorder="1" applyAlignment="1" applyProtection="1">
      <alignment wrapText="1" shrinkToFit="1"/>
    </xf>
    <xf numFmtId="202" fontId="5" fillId="0" borderId="11" xfId="2" applyNumberFormat="1" applyFont="1" applyFill="1" applyBorder="1" applyAlignment="1" applyProtection="1">
      <alignment vertical="center"/>
    </xf>
    <xf numFmtId="0" fontId="5" fillId="0" borderId="12" xfId="2" applyNumberFormat="1" applyFont="1" applyFill="1" applyBorder="1" applyAlignment="1" applyProtection="1">
      <alignment vertical="center"/>
      <protection locked="0"/>
    </xf>
    <xf numFmtId="234" fontId="5" fillId="0" borderId="12" xfId="12" applyNumberFormat="1" applyFont="1" applyFill="1" applyBorder="1" applyAlignment="1" applyProtection="1">
      <alignment vertical="center"/>
    </xf>
    <xf numFmtId="226" fontId="5" fillId="0" borderId="12" xfId="12" applyNumberFormat="1" applyFont="1" applyFill="1" applyBorder="1" applyAlignment="1" applyProtection="1">
      <alignment vertical="center"/>
    </xf>
    <xf numFmtId="226" fontId="5" fillId="0" borderId="13" xfId="2" applyNumberFormat="1" applyFont="1" applyFill="1" applyBorder="1" applyAlignment="1" applyProtection="1">
      <alignment vertical="center"/>
    </xf>
    <xf numFmtId="0" fontId="5" fillId="20" borderId="328" xfId="2" applyFont="1" applyFill="1" applyBorder="1" applyAlignment="1" applyProtection="1">
      <alignment horizontal="left" indent="1"/>
    </xf>
    <xf numFmtId="0" fontId="5" fillId="20" borderId="329" xfId="2" applyFont="1" applyFill="1" applyBorder="1" applyProtection="1"/>
    <xf numFmtId="0" fontId="5" fillId="20" borderId="182" xfId="2" applyFont="1" applyFill="1" applyBorder="1" applyProtection="1"/>
    <xf numFmtId="0" fontId="5" fillId="20" borderId="182" xfId="2" applyFont="1" applyFill="1" applyBorder="1" applyAlignment="1" applyProtection="1">
      <alignment horizontal="right"/>
    </xf>
    <xf numFmtId="0" fontId="5" fillId="20" borderId="182" xfId="2" applyFont="1" applyFill="1" applyBorder="1" applyAlignment="1" applyProtection="1"/>
    <xf numFmtId="38" fontId="5" fillId="20" borderId="182" xfId="12" applyFont="1" applyFill="1" applyBorder="1" applyAlignment="1" applyProtection="1">
      <alignment horizontal="centerContinuous"/>
    </xf>
    <xf numFmtId="3" fontId="5" fillId="20" borderId="330" xfId="2" applyNumberFormat="1" applyFont="1" applyFill="1" applyBorder="1" applyAlignment="1" applyProtection="1">
      <alignment horizontal="right" shrinkToFit="1"/>
    </xf>
    <xf numFmtId="207" fontId="5" fillId="20" borderId="331" xfId="2" applyNumberFormat="1" applyFont="1" applyFill="1" applyBorder="1" applyAlignment="1" applyProtection="1">
      <alignment horizontal="right" shrinkToFit="1"/>
    </xf>
    <xf numFmtId="0" fontId="5" fillId="20" borderId="162" xfId="2" applyFont="1" applyFill="1" applyBorder="1" applyAlignment="1" applyProtection="1">
      <alignment horizontal="right" shrinkToFit="1"/>
    </xf>
    <xf numFmtId="207" fontId="5" fillId="20" borderId="332" xfId="2" applyNumberFormat="1" applyFont="1" applyFill="1" applyBorder="1" applyAlignment="1" applyProtection="1">
      <alignment horizontal="right" shrinkToFit="1"/>
    </xf>
    <xf numFmtId="183" fontId="5" fillId="20" borderId="330" xfId="2" applyNumberFormat="1" applyFont="1" applyFill="1" applyBorder="1" applyAlignment="1" applyProtection="1">
      <alignment horizontal="right" shrinkToFit="1"/>
    </xf>
    <xf numFmtId="183" fontId="5" fillId="20" borderId="162" xfId="2" applyNumberFormat="1" applyFont="1" applyFill="1" applyBorder="1" applyAlignment="1" applyProtection="1">
      <alignment horizontal="right" shrinkToFit="1"/>
    </xf>
    <xf numFmtId="207" fontId="5" fillId="20" borderId="333" xfId="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xf>
    <xf numFmtId="202" fontId="18" fillId="0" borderId="0" xfId="2" applyNumberFormat="1" applyFont="1" applyFill="1" applyBorder="1" applyAlignment="1" applyProtection="1">
      <alignment vertical="center"/>
      <protection locked="0"/>
    </xf>
    <xf numFmtId="207" fontId="18" fillId="0" borderId="0" xfId="2" applyNumberFormat="1" applyFont="1" applyFill="1" applyBorder="1" applyAlignment="1" applyProtection="1">
      <alignment vertical="center"/>
      <protection locked="0"/>
    </xf>
    <xf numFmtId="0" fontId="18" fillId="0" borderId="0" xfId="2" applyNumberFormat="1" applyFont="1" applyFill="1" applyBorder="1" applyAlignment="1" applyProtection="1">
      <alignment vertical="center"/>
      <protection locked="0"/>
    </xf>
    <xf numFmtId="0" fontId="5" fillId="0" borderId="0" xfId="2" applyFont="1" applyFill="1" applyAlignment="1" applyProtection="1">
      <alignment horizontal="right"/>
      <protection locked="0"/>
    </xf>
    <xf numFmtId="0" fontId="5" fillId="0" borderId="38" xfId="2" applyFont="1" applyFill="1" applyBorder="1" applyProtection="1">
      <protection locked="0"/>
    </xf>
    <xf numFmtId="202" fontId="5" fillId="0" borderId="11" xfId="2" applyNumberFormat="1" applyFont="1" applyFill="1" applyBorder="1" applyAlignment="1" applyProtection="1">
      <alignment vertical="center"/>
      <protection locked="0"/>
    </xf>
    <xf numFmtId="0" fontId="5" fillId="0" borderId="12" xfId="2" applyFont="1" applyFill="1" applyBorder="1" applyAlignment="1" applyProtection="1">
      <alignment vertical="center"/>
      <protection locked="0"/>
    </xf>
    <xf numFmtId="2" fontId="18" fillId="0" borderId="0" xfId="2" applyNumberFormat="1" applyFont="1" applyFill="1" applyBorder="1" applyAlignment="1" applyProtection="1">
      <alignment vertical="center" shrinkToFit="1"/>
    </xf>
    <xf numFmtId="193" fontId="18" fillId="0" borderId="0" xfId="12" applyNumberFormat="1" applyFont="1" applyFill="1" applyBorder="1" applyAlignment="1" applyProtection="1">
      <alignment vertical="center"/>
    </xf>
    <xf numFmtId="0" fontId="5" fillId="3" borderId="75" xfId="2" applyFont="1" applyFill="1" applyBorder="1" applyAlignment="1" applyProtection="1">
      <alignment horizontal="left" vertical="center" wrapText="1" indent="1"/>
      <protection locked="0"/>
    </xf>
    <xf numFmtId="0" fontId="5" fillId="3" borderId="34" xfId="2" applyFont="1" applyFill="1" applyBorder="1" applyAlignment="1" applyProtection="1">
      <alignment horizontal="left" vertical="center" indent="1"/>
      <protection locked="0"/>
    </xf>
    <xf numFmtId="0" fontId="5" fillId="3" borderId="34" xfId="2" applyFont="1" applyFill="1" applyBorder="1" applyAlignment="1" applyProtection="1">
      <alignment vertical="center"/>
      <protection locked="0"/>
    </xf>
    <xf numFmtId="0" fontId="5" fillId="3" borderId="334" xfId="2" applyFont="1" applyFill="1" applyBorder="1" applyAlignment="1" applyProtection="1">
      <alignment vertical="center"/>
      <protection locked="0"/>
    </xf>
    <xf numFmtId="183" fontId="5" fillId="3" borderId="335" xfId="2" applyNumberFormat="1" applyFont="1" applyFill="1" applyBorder="1" applyAlignment="1" applyProtection="1">
      <alignment horizontal="centerContinuous"/>
      <protection locked="0"/>
    </xf>
    <xf numFmtId="202" fontId="5" fillId="3" borderId="336" xfId="2" applyNumberFormat="1" applyFont="1" applyFill="1" applyBorder="1" applyAlignment="1" applyProtection="1">
      <alignment horizontal="centerContinuous"/>
    </xf>
    <xf numFmtId="183" fontId="5" fillId="3" borderId="337" xfId="2" applyNumberFormat="1" applyFont="1" applyFill="1" applyBorder="1" applyAlignment="1" applyProtection="1">
      <alignment horizontal="centerContinuous"/>
      <protection locked="0"/>
    </xf>
    <xf numFmtId="202" fontId="5" fillId="3" borderId="338" xfId="2" applyNumberFormat="1" applyFont="1" applyFill="1" applyBorder="1" applyAlignment="1" applyProtection="1">
      <alignment horizontal="centerContinuous"/>
    </xf>
    <xf numFmtId="202" fontId="5" fillId="16" borderId="339" xfId="2" applyNumberFormat="1" applyFont="1" applyFill="1" applyBorder="1" applyAlignment="1" applyProtection="1">
      <alignment horizontal="centerContinuous"/>
      <protection locked="0"/>
    </xf>
    <xf numFmtId="202" fontId="5" fillId="16" borderId="22" xfId="2" applyNumberFormat="1" applyFont="1" applyFill="1" applyBorder="1" applyAlignment="1" applyProtection="1">
      <alignment horizontal="centerContinuous"/>
      <protection locked="0"/>
    </xf>
    <xf numFmtId="202" fontId="5" fillId="16" borderId="340" xfId="2" applyNumberFormat="1" applyFont="1" applyFill="1" applyBorder="1" applyAlignment="1" applyProtection="1">
      <alignment horizontal="centerContinuous"/>
      <protection locked="0"/>
    </xf>
    <xf numFmtId="202" fontId="5" fillId="17" borderId="341" xfId="2" applyNumberFormat="1" applyFont="1" applyFill="1" applyBorder="1" applyAlignment="1" applyProtection="1">
      <alignment horizontal="centerContinuous"/>
      <protection locked="0"/>
    </xf>
    <xf numFmtId="202" fontId="5" fillId="17" borderId="22" xfId="2" applyNumberFormat="1" applyFont="1" applyFill="1" applyBorder="1" applyAlignment="1" applyProtection="1">
      <alignment horizontal="centerContinuous"/>
      <protection locked="0"/>
    </xf>
    <xf numFmtId="202" fontId="5" fillId="17" borderId="342"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xf>
    <xf numFmtId="202" fontId="5" fillId="14" borderId="337" xfId="2" applyNumberFormat="1" applyFont="1" applyFill="1" applyBorder="1" applyAlignment="1" applyProtection="1">
      <alignment horizontal="centerContinuous"/>
      <protection locked="0"/>
    </xf>
    <xf numFmtId="202" fontId="5" fillId="14" borderId="336" xfId="2" applyNumberFormat="1" applyFont="1" applyFill="1" applyBorder="1" applyAlignment="1" applyProtection="1">
      <alignment horizontal="centerContinuous"/>
    </xf>
    <xf numFmtId="202" fontId="5" fillId="15" borderId="337" xfId="2" applyNumberFormat="1" applyFont="1" applyFill="1" applyBorder="1" applyAlignment="1" applyProtection="1">
      <alignment horizontal="centerContinuous"/>
      <protection locked="0"/>
    </xf>
    <xf numFmtId="202" fontId="5" fillId="15" borderId="336" xfId="2" applyNumberFormat="1" applyFont="1" applyFill="1" applyBorder="1" applyAlignment="1" applyProtection="1">
      <alignment horizontal="centerContinuous"/>
    </xf>
    <xf numFmtId="202" fontId="5" fillId="3" borderId="337" xfId="2" applyNumberFormat="1" applyFont="1" applyFill="1" applyBorder="1" applyAlignment="1" applyProtection="1">
      <alignment horizontal="centerContinuous"/>
      <protection locked="0"/>
    </xf>
    <xf numFmtId="0" fontId="5" fillId="3" borderId="96" xfId="2" applyFont="1" applyFill="1" applyBorder="1" applyAlignment="1" applyProtection="1">
      <alignment horizontal="left" vertical="center" indent="1"/>
      <protection locked="0"/>
    </xf>
    <xf numFmtId="0" fontId="5" fillId="3" borderId="0" xfId="2" applyFont="1" applyFill="1" applyBorder="1" applyAlignment="1" applyProtection="1">
      <alignment horizontal="left" vertical="center" indent="1"/>
      <protection locked="0"/>
    </xf>
    <xf numFmtId="0" fontId="5" fillId="3" borderId="0" xfId="2" applyFont="1" applyFill="1" applyBorder="1" applyAlignment="1" applyProtection="1">
      <alignment vertical="center"/>
      <protection locked="0"/>
    </xf>
    <xf numFmtId="0" fontId="5" fillId="3" borderId="257" xfId="2" applyFont="1" applyFill="1" applyBorder="1" applyAlignment="1" applyProtection="1">
      <alignment vertical="center"/>
      <protection locked="0"/>
    </xf>
    <xf numFmtId="177" fontId="5" fillId="3" borderId="254" xfId="2" applyNumberFormat="1" applyFont="1" applyFill="1" applyBorder="1" applyAlignment="1" applyProtection="1">
      <alignment horizontal="center" vertical="center" shrinkToFit="1"/>
    </xf>
    <xf numFmtId="3" fontId="5" fillId="3" borderId="206" xfId="12" applyNumberFormat="1" applyFont="1" applyFill="1" applyBorder="1" applyAlignment="1" applyProtection="1">
      <alignment horizontal="center" vertical="center" shrinkToFit="1"/>
    </xf>
    <xf numFmtId="177" fontId="5" fillId="3" borderId="343" xfId="2" applyNumberFormat="1" applyFont="1" applyFill="1" applyBorder="1" applyAlignment="1" applyProtection="1">
      <alignment horizontal="center" vertical="center" shrinkToFit="1"/>
    </xf>
    <xf numFmtId="177" fontId="5" fillId="3" borderId="40" xfId="2" applyNumberFormat="1" applyFont="1" applyFill="1" applyBorder="1" applyAlignment="1" applyProtection="1">
      <alignment horizontal="center" vertical="center" shrinkToFit="1"/>
    </xf>
    <xf numFmtId="3" fontId="5" fillId="3" borderId="38" xfId="12" applyNumberFormat="1" applyFont="1" applyFill="1" applyBorder="1" applyAlignment="1" applyProtection="1">
      <alignment horizontal="center" vertical="center" shrinkToFit="1"/>
    </xf>
    <xf numFmtId="183" fontId="5" fillId="3" borderId="254" xfId="2" applyNumberFormat="1" applyFont="1" applyFill="1" applyBorder="1" applyAlignment="1" applyProtection="1">
      <alignment horizontal="center" vertical="center" shrinkToFit="1"/>
    </xf>
    <xf numFmtId="183" fontId="5" fillId="3" borderId="343" xfId="2" applyNumberFormat="1" applyFont="1" applyFill="1" applyBorder="1" applyAlignment="1" applyProtection="1">
      <alignment horizontal="center" vertical="center" shrinkToFit="1"/>
    </xf>
    <xf numFmtId="3" fontId="5" fillId="3" borderId="257" xfId="12" applyNumberFormat="1" applyFont="1" applyFill="1" applyBorder="1" applyAlignment="1" applyProtection="1">
      <alignment horizontal="center" vertical="center" shrinkToFit="1"/>
    </xf>
    <xf numFmtId="183" fontId="5" fillId="3" borderId="40" xfId="2" applyNumberFormat="1" applyFont="1" applyFill="1" applyBorder="1" applyAlignment="1" applyProtection="1">
      <alignment horizontal="center" vertical="center" shrinkToFit="1"/>
    </xf>
    <xf numFmtId="0" fontId="5" fillId="0" borderId="76" xfId="2" applyFont="1" applyFill="1" applyBorder="1" applyAlignment="1" applyProtection="1">
      <alignment horizontal="left" indent="2"/>
    </xf>
    <xf numFmtId="0" fontId="5" fillId="0" borderId="77" xfId="2" applyFont="1" applyFill="1" applyBorder="1" applyAlignment="1" applyProtection="1"/>
    <xf numFmtId="235" fontId="5" fillId="0" borderId="77" xfId="2" applyNumberFormat="1" applyFont="1" applyFill="1" applyBorder="1" applyAlignment="1" applyProtection="1">
      <alignment horizontal="center" shrinkToFit="1"/>
    </xf>
    <xf numFmtId="0" fontId="5" fillId="0" borderId="265" xfId="2" applyFont="1" applyFill="1" applyBorder="1" applyAlignment="1" applyProtection="1">
      <alignment shrinkToFit="1"/>
    </xf>
    <xf numFmtId="207" fontId="5" fillId="0" borderId="344" xfId="2" applyNumberFormat="1" applyFont="1" applyFill="1" applyBorder="1" applyAlignment="1" applyProtection="1">
      <alignment horizontal="right" shrinkToFit="1"/>
    </xf>
    <xf numFmtId="193" fontId="5" fillId="0" borderId="345" xfId="12" applyNumberFormat="1" applyFont="1" applyFill="1" applyBorder="1" applyAlignment="1" applyProtection="1">
      <alignment horizontal="right" shrinkToFit="1"/>
    </xf>
    <xf numFmtId="207" fontId="5" fillId="0" borderId="346" xfId="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right" shrinkToFit="1"/>
    </xf>
    <xf numFmtId="207" fontId="5" fillId="0" borderId="64" xfId="2" applyNumberFormat="1" applyFont="1" applyFill="1" applyBorder="1" applyAlignment="1" applyProtection="1">
      <alignment horizontal="right" shrinkToFit="1"/>
    </xf>
    <xf numFmtId="183" fontId="5" fillId="0" borderId="346" xfId="2" applyNumberFormat="1" applyFont="1" applyFill="1" applyBorder="1" applyAlignment="1" applyProtection="1">
      <alignment horizontal="right" shrinkToFit="1"/>
    </xf>
    <xf numFmtId="193" fontId="5" fillId="0" borderId="265" xfId="1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center" shrinkToFit="1"/>
    </xf>
    <xf numFmtId="3" fontId="5" fillId="0" borderId="347" xfId="2" applyNumberFormat="1" applyFont="1" applyFill="1" applyBorder="1" applyAlignment="1" applyProtection="1">
      <alignment shrinkToFit="1"/>
    </xf>
    <xf numFmtId="183" fontId="5" fillId="0" borderId="346" xfId="2" applyNumberFormat="1" applyFont="1" applyFill="1" applyBorder="1" applyAlignment="1" applyProtection="1">
      <alignment horizontal="center" shrinkToFit="1"/>
    </xf>
    <xf numFmtId="3" fontId="5" fillId="0" borderId="66" xfId="2" applyNumberFormat="1" applyFont="1" applyFill="1" applyBorder="1" applyAlignment="1" applyProtection="1">
      <alignment shrinkToFit="1"/>
    </xf>
    <xf numFmtId="1" fontId="5" fillId="0" borderId="0" xfId="2" applyNumberFormat="1" applyFont="1" applyFill="1" applyBorder="1" applyAlignment="1" applyProtection="1">
      <alignment vertical="center"/>
    </xf>
    <xf numFmtId="204" fontId="5" fillId="0" borderId="34" xfId="2" applyNumberFormat="1" applyFont="1" applyFill="1" applyBorder="1" applyAlignment="1" applyProtection="1">
      <alignment horizontal="center" shrinkToFit="1"/>
    </xf>
    <xf numFmtId="0" fontId="5" fillId="0" borderId="348" xfId="2" applyFont="1" applyFill="1" applyBorder="1" applyAlignment="1" applyProtection="1">
      <alignment horizontal="left" indent="2"/>
    </xf>
    <xf numFmtId="0" fontId="5" fillId="0" borderId="79" xfId="2" applyFont="1" applyFill="1" applyBorder="1" applyAlignment="1" applyProtection="1"/>
    <xf numFmtId="0" fontId="5" fillId="0" borderId="79" xfId="2" applyNumberFormat="1" applyFont="1" applyFill="1" applyBorder="1" applyAlignment="1" applyProtection="1"/>
    <xf numFmtId="236" fontId="5" fillId="0" borderId="79" xfId="2" applyNumberFormat="1" applyFont="1" applyFill="1" applyBorder="1" applyAlignment="1" applyProtection="1">
      <alignment horizontal="center" shrinkToFit="1"/>
    </xf>
    <xf numFmtId="232" fontId="5" fillId="0" borderId="201" xfId="2" applyNumberFormat="1" applyFont="1" applyFill="1" applyBorder="1" applyAlignment="1" applyProtection="1">
      <alignment horizontal="right" shrinkToFit="1"/>
    </xf>
    <xf numFmtId="232" fontId="5" fillId="0" borderId="203" xfId="2" applyNumberFormat="1" applyFont="1" applyFill="1" applyBorder="1" applyAlignment="1" applyProtection="1">
      <alignment horizontal="right" shrinkToFit="1"/>
    </xf>
    <xf numFmtId="233" fontId="5" fillId="0" borderId="217" xfId="2" applyNumberFormat="1" applyFont="1" applyFill="1" applyBorder="1" applyAlignment="1" applyProtection="1">
      <alignment horizontal="right" shrinkToFit="1"/>
    </xf>
    <xf numFmtId="3" fontId="5" fillId="0" borderId="216" xfId="12" applyNumberFormat="1" applyFont="1" applyFill="1" applyBorder="1" applyAlignment="1" applyProtection="1">
      <alignment horizontal="right" shrinkToFit="1"/>
    </xf>
    <xf numFmtId="183" fontId="5" fillId="0" borderId="218" xfId="2" applyNumberFormat="1" applyFont="1" applyFill="1" applyBorder="1" applyAlignment="1" applyProtection="1">
      <alignment horizontal="right" shrinkToFit="1"/>
    </xf>
    <xf numFmtId="3" fontId="5" fillId="0" borderId="220"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center" shrinkToFit="1"/>
    </xf>
    <xf numFmtId="3" fontId="5" fillId="0" borderId="306" xfId="2" applyNumberFormat="1" applyFont="1" applyFill="1" applyBorder="1" applyAlignment="1" applyProtection="1">
      <alignment shrinkToFit="1"/>
    </xf>
    <xf numFmtId="183" fontId="5" fillId="0" borderId="203" xfId="2" applyNumberFormat="1" applyFont="1" applyFill="1" applyBorder="1" applyAlignment="1" applyProtection="1">
      <alignment horizontal="center" shrinkToFit="1"/>
    </xf>
    <xf numFmtId="3" fontId="5" fillId="0" borderId="70" xfId="2" applyNumberFormat="1" applyFont="1" applyFill="1" applyBorder="1" applyAlignment="1" applyProtection="1">
      <alignment shrinkToFit="1"/>
    </xf>
    <xf numFmtId="204" fontId="5" fillId="0" borderId="0" xfId="2" applyNumberFormat="1" applyFont="1" applyFill="1" applyBorder="1" applyAlignment="1" applyProtection="1">
      <alignment vertical="center" shrinkToFit="1"/>
    </xf>
    <xf numFmtId="0" fontId="5" fillId="0" borderId="158" xfId="2" applyFont="1" applyFill="1" applyBorder="1" applyProtection="1">
      <protection locked="0"/>
    </xf>
    <xf numFmtId="0" fontId="5" fillId="0" borderId="79" xfId="2" applyNumberFormat="1" applyFont="1" applyFill="1" applyBorder="1" applyAlignment="1" applyProtection="1">
      <alignment horizontal="left"/>
    </xf>
    <xf numFmtId="176" fontId="5" fillId="0" borderId="205" xfId="2" applyNumberFormat="1" applyFont="1" applyFill="1" applyBorder="1" applyAlignment="1" applyProtection="1">
      <alignment horizontal="left"/>
    </xf>
    <xf numFmtId="0" fontId="5" fillId="0" borderId="79" xfId="2" applyFont="1" applyFill="1" applyBorder="1" applyProtection="1"/>
    <xf numFmtId="235" fontId="5" fillId="0" borderId="79" xfId="2" applyNumberFormat="1" applyFont="1" applyFill="1" applyBorder="1" applyAlignment="1" applyProtection="1">
      <alignment horizontal="center" shrinkToFit="1"/>
    </xf>
    <xf numFmtId="193" fontId="5" fillId="0" borderId="158" xfId="12" applyNumberFormat="1" applyFont="1" applyFill="1" applyBorder="1" applyAlignment="1" applyProtection="1">
      <alignment horizontal="right" shrinkToFit="1"/>
    </xf>
    <xf numFmtId="0" fontId="5" fillId="0" borderId="97" xfId="2" applyFont="1" applyFill="1" applyBorder="1" applyAlignment="1" applyProtection="1">
      <alignment horizontal="left" indent="2"/>
    </xf>
    <xf numFmtId="0" fontId="5" fillId="0" borderId="56" xfId="2" applyFont="1" applyFill="1" applyBorder="1" applyAlignment="1" applyProtection="1"/>
    <xf numFmtId="0" fontId="5" fillId="0" borderId="178" xfId="2" applyFont="1" applyFill="1" applyBorder="1" applyAlignment="1" applyProtection="1"/>
    <xf numFmtId="204" fontId="5" fillId="0" borderId="349" xfId="2" applyNumberFormat="1" applyFont="1" applyFill="1" applyBorder="1" applyAlignment="1" applyProtection="1">
      <alignment horizontal="right" shrinkToFit="1"/>
    </xf>
    <xf numFmtId="193" fontId="5" fillId="0" borderId="160" xfId="12" applyNumberFormat="1" applyFont="1" applyFill="1" applyBorder="1" applyAlignment="1" applyProtection="1">
      <alignment horizontal="right" shrinkToFit="1"/>
    </xf>
    <xf numFmtId="204" fontId="5" fillId="0" borderId="350" xfId="2" applyNumberFormat="1" applyFont="1" applyFill="1" applyBorder="1" applyAlignment="1" applyProtection="1">
      <alignment horizontal="right" shrinkToFit="1"/>
    </xf>
    <xf numFmtId="193" fontId="5" fillId="0" borderId="56" xfId="12" applyNumberFormat="1" applyFont="1" applyFill="1" applyBorder="1" applyAlignment="1" applyProtection="1">
      <alignment horizontal="right" shrinkToFit="1"/>
    </xf>
    <xf numFmtId="193" fontId="5" fillId="0" borderId="57" xfId="12" applyNumberFormat="1" applyFont="1" applyFill="1" applyBorder="1" applyAlignment="1" applyProtection="1">
      <alignment horizontal="right" shrinkToFit="1"/>
    </xf>
    <xf numFmtId="183" fontId="5" fillId="0" borderId="351" xfId="2" applyNumberFormat="1" applyFont="1" applyFill="1" applyBorder="1" applyAlignment="1" applyProtection="1">
      <alignment horizontal="right" shrinkToFit="1"/>
    </xf>
    <xf numFmtId="204" fontId="5" fillId="0" borderId="72" xfId="2" applyNumberFormat="1" applyFont="1" applyFill="1" applyBorder="1" applyAlignment="1" applyProtection="1">
      <alignment horizontal="right" shrinkToFit="1"/>
    </xf>
    <xf numFmtId="3" fontId="5" fillId="0" borderId="352" xfId="12" applyNumberFormat="1" applyFont="1" applyFill="1" applyBorder="1" applyAlignment="1" applyProtection="1">
      <alignment horizontal="right" shrinkToFit="1"/>
    </xf>
    <xf numFmtId="183" fontId="5" fillId="0" borderId="353" xfId="2" applyNumberFormat="1" applyFont="1" applyFill="1" applyBorder="1" applyAlignment="1" applyProtection="1">
      <alignment horizontal="right" shrinkToFit="1"/>
    </xf>
    <xf numFmtId="3" fontId="5" fillId="0" borderId="354" xfId="12" applyNumberFormat="1" applyFont="1" applyFill="1" applyBorder="1" applyAlignment="1" applyProtection="1">
      <alignment horizontal="right" shrinkToFit="1"/>
    </xf>
    <xf numFmtId="0" fontId="5" fillId="0" borderId="12" xfId="2" applyFont="1" applyFill="1" applyBorder="1" applyAlignment="1" applyProtection="1">
      <alignment vertical="center"/>
    </xf>
    <xf numFmtId="0" fontId="5" fillId="0" borderId="133" xfId="2" applyFont="1" applyFill="1" applyBorder="1" applyProtection="1">
      <protection locked="0"/>
    </xf>
    <xf numFmtId="0" fontId="5" fillId="0" borderId="0" xfId="2" applyFont="1" applyBorder="1" applyProtection="1">
      <protection locked="0"/>
    </xf>
    <xf numFmtId="0" fontId="5" fillId="0" borderId="38" xfId="2" applyFont="1" applyBorder="1" applyProtection="1">
      <protection locked="0"/>
    </xf>
    <xf numFmtId="0" fontId="5" fillId="3" borderId="75" xfId="2" applyFont="1" applyFill="1" applyBorder="1" applyAlignment="1" applyProtection="1">
      <alignment vertical="center"/>
      <protection locked="0"/>
    </xf>
    <xf numFmtId="0" fontId="5" fillId="3" borderId="75" xfId="2" applyFont="1" applyFill="1" applyBorder="1" applyAlignment="1" applyProtection="1">
      <alignment horizontal="left" vertical="center" indent="2"/>
      <protection locked="0"/>
    </xf>
    <xf numFmtId="0" fontId="5" fillId="3" borderId="34" xfId="2" applyFont="1" applyFill="1" applyBorder="1" applyAlignment="1" applyProtection="1">
      <alignment horizontal="left" vertical="center" indent="2"/>
      <protection locked="0"/>
    </xf>
    <xf numFmtId="0" fontId="5" fillId="3" borderId="96" xfId="2" applyFont="1" applyFill="1" applyBorder="1" applyAlignment="1" applyProtection="1">
      <alignment vertical="center"/>
      <protection locked="0"/>
    </xf>
    <xf numFmtId="0" fontId="5" fillId="3" borderId="96" xfId="2" applyFont="1" applyFill="1" applyBorder="1" applyAlignment="1" applyProtection="1">
      <alignment horizontal="left" vertical="center" indent="2"/>
      <protection locked="0"/>
    </xf>
    <xf numFmtId="0" fontId="5" fillId="3" borderId="0" xfId="2" applyFont="1" applyFill="1" applyBorder="1" applyAlignment="1" applyProtection="1">
      <alignment horizontal="left" vertical="center" indent="2"/>
      <protection locked="0"/>
    </xf>
    <xf numFmtId="0" fontId="5" fillId="0" borderId="77" xfId="2" applyFont="1" applyFill="1" applyBorder="1" applyAlignment="1" applyProtection="1">
      <alignment horizontal="right"/>
    </xf>
    <xf numFmtId="237" fontId="5" fillId="0" borderId="77" xfId="2" applyNumberFormat="1" applyFont="1" applyFill="1" applyBorder="1" applyAlignment="1" applyProtection="1">
      <alignment horizontal="center" shrinkToFit="1"/>
    </xf>
    <xf numFmtId="0" fontId="5" fillId="0" borderId="265" xfId="2" applyFont="1" applyFill="1" applyBorder="1" applyAlignment="1" applyProtection="1"/>
    <xf numFmtId="204" fontId="5" fillId="0" borderId="344" xfId="2" applyNumberFormat="1" applyFont="1" applyFill="1" applyBorder="1" applyAlignment="1" applyProtection="1">
      <alignment horizontal="right" shrinkToFit="1"/>
    </xf>
    <xf numFmtId="204"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horizontal="right" shrinkToFit="1"/>
    </xf>
    <xf numFmtId="204" fontId="5" fillId="0" borderId="346" xfId="2" applyNumberFormat="1" applyFont="1" applyFill="1" applyBorder="1" applyAlignment="1" applyProtection="1">
      <alignment horizontal="right" shrinkToFit="1"/>
    </xf>
    <xf numFmtId="0" fontId="5" fillId="0" borderId="285" xfId="2" applyFont="1" applyFill="1" applyBorder="1" applyAlignment="1" applyProtection="1"/>
    <xf numFmtId="183"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shrinkToFit="1"/>
    </xf>
    <xf numFmtId="183" fontId="5" fillId="0" borderId="355" xfId="2" applyNumberFormat="1" applyFont="1" applyFill="1" applyBorder="1" applyAlignment="1" applyProtection="1">
      <alignment horizontal="center" shrinkToFit="1"/>
    </xf>
    <xf numFmtId="183" fontId="5" fillId="0" borderId="356" xfId="2" applyNumberFormat="1" applyFont="1" applyFill="1" applyBorder="1" applyAlignment="1" applyProtection="1">
      <alignment horizontal="center" shrinkToFit="1"/>
    </xf>
    <xf numFmtId="204" fontId="5" fillId="0" borderId="351" xfId="2" applyNumberFormat="1" applyFont="1" applyFill="1" applyBorder="1" applyAlignment="1" applyProtection="1">
      <alignment horizontal="right" shrinkToFit="1"/>
    </xf>
    <xf numFmtId="227" fontId="5" fillId="0" borderId="352" xfId="12" applyNumberFormat="1" applyFont="1" applyFill="1" applyBorder="1" applyAlignment="1" applyProtection="1">
      <alignment horizontal="right" shrinkToFit="1"/>
    </xf>
    <xf numFmtId="227" fontId="5" fillId="0" borderId="81" xfId="12" applyNumberFormat="1" applyFont="1" applyFill="1" applyBorder="1" applyAlignment="1" applyProtection="1">
      <alignment horizontal="right" shrinkToFit="1"/>
    </xf>
    <xf numFmtId="204" fontId="5" fillId="0" borderId="353" xfId="2" applyNumberFormat="1" applyFont="1" applyFill="1" applyBorder="1" applyAlignment="1" applyProtection="1">
      <alignment horizontal="right" shrinkToFit="1"/>
    </xf>
    <xf numFmtId="227" fontId="5" fillId="0" borderId="130" xfId="12" applyNumberFormat="1" applyFont="1" applyFill="1" applyBorder="1" applyAlignment="1" applyProtection="1">
      <alignment horizontal="right" shrinkToFit="1"/>
    </xf>
    <xf numFmtId="0" fontId="5" fillId="0" borderId="81" xfId="2" applyFont="1" applyFill="1" applyBorder="1" applyAlignment="1" applyProtection="1"/>
    <xf numFmtId="200" fontId="5" fillId="0" borderId="81" xfId="2" applyNumberFormat="1" applyFont="1" applyFill="1" applyBorder="1" applyProtection="1"/>
    <xf numFmtId="238" fontId="5" fillId="0" borderId="81" xfId="2" applyNumberFormat="1" applyFont="1" applyFill="1" applyBorder="1" applyAlignment="1" applyProtection="1"/>
    <xf numFmtId="207" fontId="5" fillId="0" borderId="72" xfId="2" applyNumberFormat="1" applyFont="1" applyFill="1" applyBorder="1" applyAlignment="1" applyProtection="1">
      <alignment horizontal="right" shrinkToFit="1"/>
    </xf>
    <xf numFmtId="239" fontId="5" fillId="0" borderId="81" xfId="12" applyNumberFormat="1" applyFont="1" applyFill="1" applyBorder="1" applyAlignment="1" applyProtection="1">
      <alignment horizontal="right" shrinkToFit="1"/>
    </xf>
    <xf numFmtId="239" fontId="5" fillId="0" borderId="354" xfId="12" applyNumberFormat="1" applyFont="1" applyFill="1" applyBorder="1" applyAlignment="1" applyProtection="1">
      <alignment horizontal="right" shrinkToFit="1"/>
    </xf>
    <xf numFmtId="183" fontId="5" fillId="0" borderId="357" xfId="2" applyNumberFormat="1" applyFont="1" applyFill="1" applyBorder="1" applyAlignment="1" applyProtection="1">
      <alignment horizontal="center" shrinkToFit="1"/>
    </xf>
    <xf numFmtId="183" fontId="5" fillId="0" borderId="358" xfId="2" applyNumberFormat="1" applyFont="1" applyFill="1" applyBorder="1" applyAlignment="1" applyProtection="1">
      <alignment horizontal="center" shrinkToFit="1"/>
    </xf>
    <xf numFmtId="183" fontId="5" fillId="0" borderId="359" xfId="2" applyNumberFormat="1" applyFont="1" applyFill="1" applyBorder="1" applyAlignment="1" applyProtection="1">
      <alignment horizontal="center" shrinkToFit="1"/>
    </xf>
    <xf numFmtId="239" fontId="5" fillId="0" borderId="130" xfId="12" applyNumberFormat="1" applyFont="1" applyFill="1" applyBorder="1" applyAlignment="1" applyProtection="1">
      <alignment horizontal="right" shrinkToFit="1"/>
    </xf>
    <xf numFmtId="0" fontId="5" fillId="0" borderId="0" xfId="2" applyFont="1" applyAlignment="1" applyProtection="1">
      <alignment vertical="center"/>
      <protection locked="0"/>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xf>
    <xf numFmtId="204" fontId="5" fillId="0" borderId="21" xfId="2" applyNumberFormat="1" applyFont="1" applyFill="1" applyBorder="1" applyAlignment="1" applyProtection="1">
      <alignment horizontal="center" vertical="center" shrinkToFit="1"/>
    </xf>
    <xf numFmtId="204" fontId="5" fillId="0" borderId="22" xfId="2" applyNumberFormat="1" applyFont="1" applyFill="1" applyBorder="1" applyAlignment="1" applyProtection="1">
      <alignment horizontal="center" vertical="center" shrinkToFit="1"/>
    </xf>
    <xf numFmtId="204" fontId="5" fillId="0" borderId="23" xfId="2" applyNumberFormat="1" applyFont="1" applyFill="1" applyBorder="1" applyAlignment="1" applyProtection="1">
      <alignment horizontal="center" vertical="center" shrinkToFit="1"/>
    </xf>
    <xf numFmtId="204" fontId="5" fillId="0" borderId="34" xfId="2" applyNumberFormat="1" applyFont="1" applyFill="1" applyBorder="1" applyAlignment="1" applyProtection="1">
      <alignment horizontal="center" vertical="center" shrinkToFit="1"/>
    </xf>
    <xf numFmtId="189" fontId="5" fillId="0" borderId="21" xfId="2" applyNumberFormat="1" applyFont="1" applyFill="1" applyBorder="1" applyAlignment="1" applyProtection="1">
      <alignment horizontal="center" vertical="center" shrinkToFit="1"/>
    </xf>
    <xf numFmtId="189" fontId="5" fillId="0" borderId="22" xfId="2" applyNumberFormat="1" applyFont="1" applyFill="1" applyBorder="1" applyAlignment="1" applyProtection="1">
      <alignment horizontal="center" vertical="center" shrinkToFit="1"/>
    </xf>
    <xf numFmtId="189" fontId="5" fillId="0" borderId="23" xfId="2" applyNumberFormat="1" applyFont="1" applyFill="1" applyBorder="1" applyAlignment="1" applyProtection="1">
      <alignment horizontal="center" vertical="center" shrinkToFit="1"/>
    </xf>
    <xf numFmtId="204" fontId="5" fillId="0" borderId="342" xfId="2" applyNumberFormat="1" applyFont="1" applyFill="1" applyBorder="1" applyAlignment="1" applyProtection="1">
      <alignment horizontal="center" vertical="center" shrinkToFit="1"/>
    </xf>
    <xf numFmtId="204" fontId="5" fillId="0" borderId="360" xfId="2" applyNumberFormat="1" applyFont="1" applyFill="1" applyBorder="1" applyAlignment="1" applyProtection="1">
      <alignment horizontal="center" vertical="center" shrinkToFit="1"/>
    </xf>
    <xf numFmtId="204" fontId="5" fillId="0" borderId="361" xfId="2" applyNumberFormat="1" applyFont="1" applyFill="1" applyBorder="1" applyAlignment="1" applyProtection="1">
      <alignment horizontal="center" vertical="center" shrinkToFit="1"/>
    </xf>
    <xf numFmtId="2" fontId="5" fillId="0" borderId="0" xfId="2" applyNumberFormat="1" applyFont="1" applyFill="1" applyBorder="1" applyAlignment="1" applyProtection="1">
      <alignment vertical="center" shrinkToFit="1"/>
    </xf>
    <xf numFmtId="0" fontId="18" fillId="0" borderId="0" xfId="12" applyNumberFormat="1" applyFont="1" applyFill="1" applyBorder="1" applyAlignment="1" applyProtection="1">
      <alignment vertical="center"/>
    </xf>
    <xf numFmtId="0" fontId="18"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shrinkToFit="1"/>
    </xf>
    <xf numFmtId="0" fontId="5" fillId="0" borderId="0" xfId="2" applyNumberFormat="1" applyFont="1" applyFill="1" applyBorder="1" applyAlignment="1" applyProtection="1">
      <protection locked="0"/>
    </xf>
    <xf numFmtId="183" fontId="5" fillId="0" borderId="362" xfId="2" applyNumberFormat="1" applyFont="1" applyFill="1" applyBorder="1" applyAlignment="1" applyProtection="1">
      <alignment horizontal="center" shrinkToFit="1"/>
    </xf>
    <xf numFmtId="0" fontId="0" fillId="0" borderId="202" xfId="0" applyBorder="1" applyAlignment="1">
      <alignment horizontal="center" shrinkToFit="1"/>
    </xf>
    <xf numFmtId="183" fontId="5" fillId="0" borderId="363" xfId="2" applyNumberFormat="1" applyFont="1" applyFill="1" applyBorder="1" applyAlignment="1" applyProtection="1">
      <alignment horizontal="center" shrinkToFit="1"/>
    </xf>
    <xf numFmtId="183" fontId="5" fillId="0" borderId="364" xfId="2" applyNumberFormat="1" applyFont="1" applyFill="1" applyBorder="1" applyAlignment="1" applyProtection="1">
      <alignment horizontal="center" shrinkToFit="1"/>
    </xf>
    <xf numFmtId="0" fontId="0" fillId="0" borderId="352" xfId="0" applyBorder="1" applyAlignment="1">
      <alignment horizontal="center" shrinkToFit="1"/>
    </xf>
    <xf numFmtId="183" fontId="5" fillId="0" borderId="365" xfId="2" applyNumberFormat="1" applyFont="1" applyFill="1" applyBorder="1" applyAlignment="1" applyProtection="1">
      <alignment horizontal="center" shrinkToFit="1"/>
    </xf>
    <xf numFmtId="0" fontId="0" fillId="0" borderId="204" xfId="0" applyBorder="1" applyAlignment="1">
      <alignment horizontal="center" shrinkToFit="1"/>
    </xf>
    <xf numFmtId="0" fontId="0" fillId="0" borderId="130" xfId="0" applyBorder="1" applyAlignment="1">
      <alignment horizontal="center" shrinkToFit="1"/>
    </xf>
    <xf numFmtId="202" fontId="5" fillId="13" borderId="258" xfId="2" applyNumberFormat="1" applyFont="1" applyFill="1" applyBorder="1" applyAlignment="1" applyProtection="1">
      <alignment horizontal="center" vertical="center" wrapText="1"/>
      <protection locked="0"/>
    </xf>
    <xf numFmtId="202" fontId="5" fillId="14" borderId="245" xfId="2" applyNumberFormat="1" applyFont="1" applyFill="1" applyBorder="1" applyAlignment="1" applyProtection="1">
      <alignment horizontal="center" vertical="center" wrapText="1"/>
      <protection locked="0"/>
    </xf>
    <xf numFmtId="202" fontId="5" fillId="14" borderId="258" xfId="2" applyNumberFormat="1" applyFont="1" applyFill="1" applyBorder="1" applyAlignment="1" applyProtection="1">
      <alignment horizontal="center" vertical="center" wrapText="1"/>
      <protection locked="0"/>
    </xf>
    <xf numFmtId="202" fontId="5" fillId="15" borderId="245" xfId="2" applyNumberFormat="1" applyFont="1" applyFill="1" applyBorder="1" applyAlignment="1" applyProtection="1">
      <alignment horizontal="center" vertical="center" wrapText="1"/>
      <protection locked="0"/>
    </xf>
    <xf numFmtId="202" fontId="5" fillId="15" borderId="258" xfId="2" applyNumberFormat="1" applyFont="1" applyFill="1" applyBorder="1" applyAlignment="1" applyProtection="1">
      <alignment horizontal="center" vertical="center" wrapText="1"/>
      <protection locked="0"/>
    </xf>
    <xf numFmtId="202" fontId="18" fillId="19" borderId="245" xfId="2" applyNumberFormat="1" applyFont="1" applyFill="1" applyBorder="1" applyAlignment="1" applyProtection="1">
      <alignment horizontal="center" vertical="center" wrapText="1"/>
      <protection locked="0"/>
    </xf>
    <xf numFmtId="202" fontId="18" fillId="19" borderId="258" xfId="2" applyNumberFormat="1" applyFont="1" applyFill="1" applyBorder="1" applyAlignment="1" applyProtection="1">
      <alignment horizontal="center" vertical="center" wrapText="1"/>
      <protection locked="0"/>
    </xf>
    <xf numFmtId="0" fontId="37" fillId="0" borderId="0" xfId="13" applyFont="1">
      <alignment vertical="center"/>
    </xf>
    <xf numFmtId="2" fontId="38" fillId="0" borderId="0" xfId="13" applyNumberFormat="1" applyFont="1">
      <alignment vertical="center"/>
    </xf>
    <xf numFmtId="0" fontId="38" fillId="0" borderId="0" xfId="13" applyFont="1">
      <alignment vertical="center"/>
    </xf>
    <xf numFmtId="0" fontId="38" fillId="0" borderId="0" xfId="13" applyFont="1" applyBorder="1">
      <alignment vertical="center"/>
    </xf>
    <xf numFmtId="0" fontId="5" fillId="0" borderId="0" xfId="14" applyFont="1"/>
    <xf numFmtId="2" fontId="40" fillId="0" borderId="0" xfId="14" applyNumberFormat="1" applyFont="1"/>
    <xf numFmtId="0" fontId="40" fillId="0" borderId="0" xfId="14" applyFont="1"/>
    <xf numFmtId="0" fontId="40" fillId="0" borderId="0" xfId="14" applyFont="1" applyBorder="1"/>
    <xf numFmtId="0" fontId="5" fillId="0" borderId="0" xfId="14" applyFont="1" applyAlignment="1" applyProtection="1">
      <alignment shrinkToFit="1"/>
    </xf>
    <xf numFmtId="0" fontId="5" fillId="0" borderId="0" xfId="14" applyFont="1" applyProtection="1"/>
    <xf numFmtId="0" fontId="5" fillId="0" borderId="0" xfId="14" applyFont="1" applyFill="1" applyBorder="1" applyAlignment="1" applyProtection="1">
      <alignment horizontal="center"/>
    </xf>
    <xf numFmtId="0" fontId="5" fillId="0" borderId="0" xfId="15" applyFont="1">
      <alignment vertical="center"/>
    </xf>
    <xf numFmtId="0" fontId="5" fillId="0" borderId="0" xfId="14" applyFont="1" applyFill="1" applyBorder="1" applyProtection="1"/>
    <xf numFmtId="3" fontId="5" fillId="0" borderId="350" xfId="14" applyNumberFormat="1" applyFont="1" applyBorder="1" applyAlignment="1" applyProtection="1">
      <alignment shrinkToFit="1"/>
      <protection locked="0"/>
    </xf>
    <xf numFmtId="0" fontId="5" fillId="0" borderId="73" xfId="14" applyNumberFormat="1" applyFont="1" applyBorder="1" applyAlignment="1" applyProtection="1">
      <alignment shrinkToFit="1"/>
      <protection locked="0"/>
    </xf>
    <xf numFmtId="0" fontId="5" fillId="0" borderId="366" xfId="14" applyNumberFormat="1" applyFont="1" applyBorder="1" applyAlignment="1" applyProtection="1">
      <alignment horizontal="center" shrinkToFit="1"/>
      <protection locked="0"/>
    </xf>
    <xf numFmtId="0" fontId="5" fillId="0" borderId="159" xfId="14" applyNumberFormat="1" applyFont="1" applyBorder="1" applyAlignment="1" applyProtection="1">
      <alignment horizontal="center" shrinkToFit="1"/>
      <protection locked="0"/>
    </xf>
    <xf numFmtId="228" fontId="5" fillId="0" borderId="129" xfId="14" applyNumberFormat="1" applyFont="1" applyBorder="1" applyAlignment="1" applyProtection="1">
      <alignment shrinkToFit="1"/>
      <protection locked="0"/>
    </xf>
    <xf numFmtId="3" fontId="18" fillId="0" borderId="128" xfId="14" applyNumberFormat="1" applyFont="1" applyBorder="1" applyAlignment="1" applyProtection="1">
      <alignment shrinkToFit="1"/>
      <protection locked="0"/>
    </xf>
    <xf numFmtId="3" fontId="5" fillId="0" borderId="128" xfId="14" applyNumberFormat="1" applyFont="1" applyFill="1" applyBorder="1" applyAlignment="1" applyProtection="1">
      <alignment shrinkToFit="1"/>
      <protection locked="0"/>
    </xf>
    <xf numFmtId="3" fontId="5" fillId="0" borderId="128" xfId="14" applyNumberFormat="1" applyFont="1" applyBorder="1" applyAlignment="1" applyProtection="1">
      <alignment shrinkToFit="1"/>
      <protection locked="0"/>
    </xf>
    <xf numFmtId="3" fontId="5" fillId="0" borderId="192" xfId="14" applyNumberFormat="1" applyFont="1" applyBorder="1" applyAlignment="1" applyProtection="1">
      <alignment shrinkToFit="1"/>
      <protection locked="0"/>
    </xf>
    <xf numFmtId="2" fontId="5" fillId="0" borderId="149" xfId="14" applyNumberFormat="1" applyFont="1" applyBorder="1" applyAlignment="1" applyProtection="1">
      <alignment shrinkToFit="1"/>
      <protection locked="0"/>
    </xf>
    <xf numFmtId="2" fontId="5" fillId="0" borderId="192" xfId="14" applyNumberFormat="1" applyFont="1" applyBorder="1" applyAlignment="1" applyProtection="1">
      <alignment shrinkToFit="1"/>
      <protection locked="0"/>
    </xf>
    <xf numFmtId="3" fontId="18" fillId="0" borderId="189" xfId="14" applyNumberFormat="1" applyFont="1" applyBorder="1" applyAlignment="1" applyProtection="1">
      <alignment shrinkToFit="1"/>
      <protection locked="0"/>
    </xf>
    <xf numFmtId="3" fontId="5" fillId="0" borderId="369" xfId="14" applyNumberFormat="1" applyFont="1" applyBorder="1" applyAlignment="1" applyProtection="1">
      <alignment shrinkToFit="1"/>
      <protection locked="0"/>
    </xf>
    <xf numFmtId="3" fontId="5" fillId="0" borderId="370" xfId="14" applyNumberFormat="1" applyFont="1" applyBorder="1" applyAlignment="1" applyProtection="1">
      <alignment shrinkToFit="1"/>
      <protection locked="0"/>
    </xf>
    <xf numFmtId="3" fontId="18" fillId="0" borderId="303" xfId="14" applyNumberFormat="1" applyFont="1" applyBorder="1" applyAlignment="1" applyProtection="1">
      <alignment shrinkToFit="1"/>
      <protection locked="0"/>
    </xf>
    <xf numFmtId="0" fontId="5" fillId="0" borderId="370" xfId="14" applyNumberFormat="1" applyFont="1" applyBorder="1" applyAlignment="1" applyProtection="1">
      <alignment horizontal="center" shrinkToFit="1"/>
      <protection locked="0"/>
    </xf>
    <xf numFmtId="240" fontId="5" fillId="0" borderId="189" xfId="14" applyNumberFormat="1" applyFont="1" applyBorder="1" applyAlignment="1" applyProtection="1">
      <alignment shrinkToFit="1"/>
      <protection locked="0"/>
    </xf>
    <xf numFmtId="240" fontId="5" fillId="0" borderId="128" xfId="14" applyNumberFormat="1" applyFont="1" applyBorder="1" applyAlignment="1" applyProtection="1">
      <alignment shrinkToFit="1"/>
      <protection locked="0"/>
    </xf>
    <xf numFmtId="241" fontId="5" fillId="0" borderId="128" xfId="14" applyNumberFormat="1" applyFont="1" applyBorder="1" applyAlignment="1" applyProtection="1">
      <alignment shrinkToFit="1"/>
      <protection locked="0"/>
    </xf>
    <xf numFmtId="0" fontId="5" fillId="0" borderId="69" xfId="14" applyNumberFormat="1" applyFont="1" applyBorder="1" applyAlignment="1" applyProtection="1">
      <alignment shrinkToFit="1"/>
      <protection locked="0"/>
    </xf>
    <xf numFmtId="0" fontId="5" fillId="0" borderId="369" xfId="14" applyNumberFormat="1" applyFont="1" applyBorder="1" applyAlignment="1" applyProtection="1">
      <alignment horizontal="center" shrinkToFit="1"/>
      <protection locked="0"/>
    </xf>
    <xf numFmtId="0" fontId="5" fillId="0" borderId="371" xfId="14" applyNumberFormat="1" applyFont="1" applyBorder="1" applyAlignment="1" applyProtection="1">
      <alignment horizontal="center" shrinkToFit="1"/>
      <protection locked="0"/>
    </xf>
    <xf numFmtId="228" fontId="5" fillId="0" borderId="193" xfId="14" applyNumberFormat="1" applyFont="1" applyBorder="1" applyAlignment="1" applyProtection="1">
      <alignment shrinkToFit="1"/>
      <protection locked="0"/>
    </xf>
    <xf numFmtId="3" fontId="18" fillId="0" borderId="64" xfId="14" applyNumberFormat="1" applyFont="1" applyBorder="1" applyAlignment="1" applyProtection="1">
      <alignment shrinkToFit="1"/>
      <protection locked="0"/>
    </xf>
    <xf numFmtId="3" fontId="5" fillId="0" borderId="64" xfId="14" applyNumberFormat="1" applyFont="1" applyFill="1" applyBorder="1" applyAlignment="1" applyProtection="1">
      <alignment shrinkToFit="1"/>
      <protection locked="0"/>
    </xf>
    <xf numFmtId="3" fontId="5" fillId="0" borderId="64" xfId="14" applyNumberFormat="1" applyFont="1" applyBorder="1" applyAlignment="1" applyProtection="1">
      <alignment shrinkToFit="1"/>
      <protection locked="0"/>
    </xf>
    <xf numFmtId="3" fontId="5" fillId="0" borderId="346" xfId="14" applyNumberFormat="1" applyFont="1" applyBorder="1" applyAlignment="1" applyProtection="1">
      <alignment shrinkToFit="1"/>
      <protection locked="0"/>
    </xf>
    <xf numFmtId="2" fontId="5" fillId="0" borderId="345" xfId="14" applyNumberFormat="1" applyFont="1" applyBorder="1" applyAlignment="1" applyProtection="1">
      <alignment shrinkToFit="1"/>
      <protection locked="0"/>
    </xf>
    <xf numFmtId="2" fontId="5" fillId="0" borderId="346" xfId="14" applyNumberFormat="1" applyFont="1" applyBorder="1" applyAlignment="1" applyProtection="1">
      <alignment shrinkToFit="1"/>
      <protection locked="0"/>
    </xf>
    <xf numFmtId="3" fontId="18" fillId="0" borderId="77" xfId="14" applyNumberFormat="1" applyFont="1" applyBorder="1" applyAlignment="1" applyProtection="1">
      <alignment shrinkToFit="1"/>
      <protection locked="0"/>
    </xf>
    <xf numFmtId="3" fontId="5" fillId="0" borderId="65" xfId="14" applyNumberFormat="1" applyFont="1" applyBorder="1" applyAlignment="1" applyProtection="1">
      <alignment shrinkToFit="1"/>
      <protection locked="0"/>
    </xf>
    <xf numFmtId="3" fontId="5" fillId="0" borderId="372" xfId="14" applyNumberFormat="1" applyFont="1" applyBorder="1" applyAlignment="1" applyProtection="1">
      <alignment shrinkToFit="1"/>
      <protection locked="0"/>
    </xf>
    <xf numFmtId="3" fontId="18" fillId="0" borderId="347" xfId="14" applyNumberFormat="1" applyFont="1" applyBorder="1" applyAlignment="1" applyProtection="1">
      <alignment shrinkToFit="1"/>
      <protection locked="0"/>
    </xf>
    <xf numFmtId="0" fontId="5" fillId="0" borderId="372" xfId="14" applyNumberFormat="1" applyFont="1" applyBorder="1" applyAlignment="1" applyProtection="1">
      <alignment horizontal="center" shrinkToFit="1"/>
      <protection locked="0"/>
    </xf>
    <xf numFmtId="240" fontId="5" fillId="0" borderId="77" xfId="14" applyNumberFormat="1" applyFont="1" applyBorder="1" applyAlignment="1" applyProtection="1">
      <alignment shrinkToFit="1"/>
      <protection locked="0"/>
    </xf>
    <xf numFmtId="240" fontId="5" fillId="0" borderId="64" xfId="14" applyNumberFormat="1" applyFont="1" applyBorder="1" applyAlignment="1" applyProtection="1">
      <alignment shrinkToFit="1"/>
      <protection locked="0"/>
    </xf>
    <xf numFmtId="241" fontId="5" fillId="0" borderId="64" xfId="14" applyNumberFormat="1" applyFont="1" applyBorder="1" applyAlignment="1" applyProtection="1">
      <alignment shrinkToFit="1"/>
      <protection locked="0"/>
    </xf>
    <xf numFmtId="0" fontId="5" fillId="0" borderId="65" xfId="14" applyNumberFormat="1" applyFont="1" applyBorder="1" applyAlignment="1" applyProtection="1">
      <alignment shrinkToFit="1"/>
      <protection locked="0"/>
    </xf>
    <xf numFmtId="0" fontId="5" fillId="0" borderId="65" xfId="14" applyNumberFormat="1" applyFont="1" applyBorder="1" applyAlignment="1" applyProtection="1">
      <alignment horizontal="center" shrinkToFit="1"/>
      <protection locked="0"/>
    </xf>
    <xf numFmtId="0" fontId="5" fillId="0" borderId="373" xfId="14" applyNumberFormat="1" applyFont="1" applyBorder="1" applyAlignment="1" applyProtection="1">
      <alignment horizontal="center" shrinkToFit="1"/>
      <protection locked="0"/>
    </xf>
    <xf numFmtId="2" fontId="5" fillId="12" borderId="16" xfId="14" applyNumberFormat="1" applyFont="1" applyFill="1" applyBorder="1" applyAlignment="1" applyProtection="1">
      <alignment horizontal="center" vertical="center" wrapText="1" shrinkToFit="1"/>
      <protection locked="0"/>
    </xf>
    <xf numFmtId="2" fontId="5" fillId="12" borderId="14" xfId="14" applyNumberFormat="1" applyFont="1" applyFill="1" applyBorder="1" applyAlignment="1" applyProtection="1">
      <alignment horizontal="center" vertical="center" wrapText="1" shrinkToFit="1"/>
      <protection locked="0"/>
    </xf>
    <xf numFmtId="0" fontId="38" fillId="7" borderId="16" xfId="13" applyFont="1" applyFill="1" applyBorder="1" applyAlignment="1">
      <alignment horizontal="center" vertical="center" shrinkToFit="1"/>
    </xf>
    <xf numFmtId="0" fontId="38" fillId="7" borderId="15" xfId="13" applyFont="1" applyFill="1" applyBorder="1" applyAlignment="1">
      <alignment horizontal="center" vertical="center" shrinkToFit="1"/>
    </xf>
    <xf numFmtId="0" fontId="38" fillId="7" borderId="14" xfId="13" applyFont="1" applyFill="1" applyBorder="1" applyAlignment="1">
      <alignment horizontal="center" vertical="center" shrinkToFit="1"/>
    </xf>
    <xf numFmtId="0" fontId="38" fillId="7" borderId="374" xfId="13" applyFont="1" applyFill="1" applyBorder="1" applyAlignment="1">
      <alignment horizontal="center" vertical="center" shrinkToFit="1"/>
    </xf>
    <xf numFmtId="0" fontId="38" fillId="7" borderId="49" xfId="13" applyFont="1" applyFill="1" applyBorder="1" applyAlignment="1">
      <alignment horizontal="center" vertical="center" shrinkToFit="1"/>
    </xf>
    <xf numFmtId="0" fontId="5" fillId="3" borderId="46" xfId="14" applyNumberFormat="1" applyFont="1" applyFill="1" applyBorder="1" applyAlignment="1" applyProtection="1">
      <alignment horizontal="center" vertical="center" wrapText="1" shrinkToFit="1"/>
      <protection locked="0"/>
    </xf>
    <xf numFmtId="0" fontId="5" fillId="3" borderId="62" xfId="14" applyNumberFormat="1" applyFont="1" applyFill="1" applyBorder="1" applyAlignment="1" applyProtection="1">
      <alignment horizontal="center" vertical="center" shrinkToFit="1"/>
      <protection locked="0"/>
    </xf>
    <xf numFmtId="0" fontId="5" fillId="3" borderId="62" xfId="14" applyNumberFormat="1" applyFont="1" applyFill="1" applyBorder="1" applyAlignment="1" applyProtection="1">
      <alignment horizontal="center" vertical="center" wrapText="1" shrinkToFit="1"/>
      <protection locked="0"/>
    </xf>
    <xf numFmtId="0" fontId="5" fillId="3" borderId="255" xfId="14" applyNumberFormat="1" applyFont="1" applyFill="1" applyBorder="1" applyAlignment="1" applyProtection="1">
      <alignment horizontal="center" vertical="center" wrapText="1" shrinkToFit="1"/>
      <protection locked="0"/>
    </xf>
    <xf numFmtId="0" fontId="5" fillId="3" borderId="160" xfId="14" applyNumberFormat="1" applyFont="1" applyFill="1" applyBorder="1" applyAlignment="1" applyProtection="1">
      <alignment horizontal="center" vertical="center" wrapText="1"/>
      <protection locked="0"/>
    </xf>
    <xf numFmtId="0" fontId="5" fillId="3" borderId="350" xfId="14" applyNumberFormat="1" applyFont="1" applyFill="1" applyBorder="1" applyAlignment="1" applyProtection="1">
      <alignment horizontal="center" vertical="center" wrapText="1"/>
      <protection locked="0"/>
    </xf>
    <xf numFmtId="0" fontId="5" fillId="3" borderId="206" xfId="14" applyNumberFormat="1" applyFont="1" applyFill="1" applyBorder="1" applyAlignment="1" applyProtection="1">
      <alignment horizontal="center" vertical="center" shrinkToFit="1"/>
      <protection locked="0"/>
    </xf>
    <xf numFmtId="0" fontId="5" fillId="3" borderId="366" xfId="14" applyNumberFormat="1" applyFont="1" applyFill="1" applyBorder="1" applyAlignment="1" applyProtection="1">
      <alignment horizontal="center" vertical="center"/>
      <protection locked="0"/>
    </xf>
    <xf numFmtId="0" fontId="5" fillId="3" borderId="40" xfId="14" applyNumberFormat="1" applyFont="1" applyFill="1" applyBorder="1" applyAlignment="1" applyProtection="1">
      <alignment horizontal="center" vertical="center" shrinkToFit="1"/>
      <protection locked="0"/>
    </xf>
    <xf numFmtId="0" fontId="5" fillId="3" borderId="40" xfId="14"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protection locked="0"/>
    </xf>
    <xf numFmtId="0" fontId="5" fillId="3" borderId="307" xfId="14" applyNumberFormat="1"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shrinkToFit="1"/>
      <protection locked="0"/>
    </xf>
    <xf numFmtId="0" fontId="5" fillId="3" borderId="307" xfId="14" applyNumberFormat="1"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shrinkToFit="1"/>
      <protection locked="0"/>
    </xf>
    <xf numFmtId="0" fontId="5" fillId="3" borderId="100" xfId="14" applyFont="1" applyFill="1" applyBorder="1" applyAlignment="1" applyProtection="1">
      <alignment horizontal="center" vertical="center"/>
      <protection locked="0"/>
    </xf>
    <xf numFmtId="2" fontId="5" fillId="12" borderId="275" xfId="14" applyNumberFormat="1" applyFont="1" applyFill="1" applyBorder="1" applyAlignment="1" applyProtection="1">
      <alignment horizontal="center" vertical="center" wrapText="1" shrinkToFit="1"/>
      <protection locked="0"/>
    </xf>
    <xf numFmtId="2" fontId="5" fillId="12" borderId="318" xfId="14" applyNumberFormat="1" applyFont="1" applyFill="1" applyBorder="1" applyAlignment="1" applyProtection="1">
      <alignment horizontal="center" vertical="center" wrapText="1" shrinkToFit="1"/>
      <protection locked="0"/>
    </xf>
    <xf numFmtId="0" fontId="38" fillId="7" borderId="375" xfId="13" applyFont="1" applyFill="1" applyBorder="1" applyAlignment="1">
      <alignment horizontal="center" vertical="center" shrinkToFit="1"/>
    </xf>
    <xf numFmtId="0" fontId="38" fillId="7" borderId="376" xfId="13" applyFont="1" applyFill="1" applyBorder="1" applyAlignment="1">
      <alignment horizontal="center" vertical="center" shrinkToFit="1"/>
    </xf>
    <xf numFmtId="0" fontId="38" fillId="7" borderId="377" xfId="13" applyFont="1" applyFill="1" applyBorder="1" applyAlignment="1">
      <alignment horizontal="center" vertical="center" shrinkToFit="1"/>
    </xf>
    <xf numFmtId="0" fontId="38" fillId="7" borderId="378" xfId="13" applyFont="1" applyFill="1" applyBorder="1" applyAlignment="1">
      <alignment horizontal="center" vertical="center" shrinkToFit="1"/>
    </xf>
    <xf numFmtId="0" fontId="38" fillId="7" borderId="379" xfId="13" applyFont="1" applyFill="1" applyBorder="1" applyAlignment="1">
      <alignment horizontal="center" vertical="center" shrinkToFit="1"/>
    </xf>
    <xf numFmtId="0" fontId="5" fillId="3" borderId="380" xfId="14" applyNumberFormat="1" applyFont="1" applyFill="1" applyBorder="1" applyAlignment="1" applyProtection="1">
      <alignment horizontal="center" vertical="center" wrapText="1" shrinkToFit="1"/>
      <protection locked="0"/>
    </xf>
    <xf numFmtId="0" fontId="5" fillId="3" borderId="149" xfId="14" applyNumberFormat="1" applyFont="1" applyFill="1" applyBorder="1" applyAlignment="1" applyProtection="1">
      <alignment horizontal="center" vertical="center" wrapText="1"/>
      <protection locked="0"/>
    </xf>
    <xf numFmtId="0" fontId="5" fillId="3" borderId="148" xfId="14" applyNumberFormat="1" applyFont="1" applyFill="1" applyBorder="1" applyAlignment="1" applyProtection="1">
      <alignment horizontal="center" vertical="center" wrapText="1"/>
      <protection locked="0"/>
    </xf>
    <xf numFmtId="0" fontId="5" fillId="3" borderId="216" xfId="14" applyNumberFormat="1" applyFont="1" applyFill="1" applyBorder="1" applyAlignment="1" applyProtection="1">
      <alignment horizontal="center" vertical="center" wrapText="1" shrinkToFit="1"/>
      <protection locked="0"/>
    </xf>
    <xf numFmtId="0" fontId="5" fillId="3" borderId="380" xfId="14" applyNumberFormat="1" applyFont="1" applyFill="1" applyBorder="1" applyAlignment="1" applyProtection="1">
      <alignment horizontal="center" vertical="center" wrapText="1"/>
      <protection locked="0"/>
    </xf>
    <xf numFmtId="0" fontId="5" fillId="3" borderId="381" xfId="14" applyNumberFormat="1" applyFont="1" applyFill="1" applyBorder="1" applyAlignment="1" applyProtection="1">
      <alignment horizontal="center" vertical="center" wrapText="1"/>
      <protection locked="0"/>
    </xf>
    <xf numFmtId="0" fontId="5" fillId="3" borderId="382" xfId="14" applyNumberFormat="1" applyFont="1" applyFill="1" applyBorder="1" applyAlignment="1" applyProtection="1">
      <alignment horizontal="center" vertical="center" wrapText="1" shrinkToFit="1"/>
      <protection locked="0"/>
    </xf>
    <xf numFmtId="0" fontId="5" fillId="3" borderId="381" xfId="14" applyNumberFormat="1" applyFont="1" applyFill="1" applyBorder="1" applyAlignment="1" applyProtection="1">
      <alignment horizontal="center" vertical="center" wrapText="1" shrinkToFit="1"/>
      <protection locked="0"/>
    </xf>
    <xf numFmtId="2" fontId="38" fillId="7" borderId="57" xfId="13" applyNumberFormat="1" applyFont="1" applyFill="1" applyBorder="1" applyAlignment="1">
      <alignment horizontal="center" vertical="center" wrapText="1"/>
    </xf>
    <xf numFmtId="2" fontId="38" fillId="7" borderId="97" xfId="13" applyNumberFormat="1" applyFont="1" applyFill="1" applyBorder="1" applyAlignment="1">
      <alignment horizontal="center" vertical="center" wrapText="1"/>
    </xf>
    <xf numFmtId="0" fontId="38" fillId="21" borderId="0" xfId="13" applyFont="1" applyFill="1" applyBorder="1" applyAlignment="1">
      <alignment horizontal="center" vertical="center" shrinkToFit="1"/>
    </xf>
    <xf numFmtId="0" fontId="38" fillId="22" borderId="0" xfId="13" applyFont="1" applyFill="1" applyBorder="1" applyAlignment="1">
      <alignment horizontal="center" vertical="center" shrinkToFit="1"/>
    </xf>
    <xf numFmtId="0" fontId="5" fillId="3" borderId="27" xfId="14" applyNumberFormat="1" applyFont="1" applyFill="1" applyBorder="1" applyAlignment="1" applyProtection="1">
      <alignment horizontal="center" vertical="center" wrapText="1" shrinkToFit="1"/>
      <protection locked="0"/>
    </xf>
    <xf numFmtId="0" fontId="5" fillId="3" borderId="99" xfId="14" applyNumberFormat="1" applyFont="1" applyFill="1" applyBorder="1" applyAlignment="1" applyProtection="1">
      <alignment horizontal="center"/>
      <protection locked="0"/>
    </xf>
    <xf numFmtId="0" fontId="5" fillId="3" borderId="84" xfId="14" applyNumberFormat="1" applyFont="1" applyFill="1" applyBorder="1" applyAlignment="1" applyProtection="1">
      <alignment horizontal="center"/>
      <protection locked="0"/>
    </xf>
    <xf numFmtId="0" fontId="5" fillId="3" borderId="143" xfId="14" applyNumberFormat="1" applyFont="1" applyFill="1" applyBorder="1" applyAlignment="1" applyProtection="1">
      <alignment horizontal="center"/>
      <protection locked="0"/>
    </xf>
    <xf numFmtId="0" fontId="5" fillId="3" borderId="138" xfId="14" applyNumberFormat="1" applyFont="1" applyFill="1" applyBorder="1" applyAlignment="1" applyProtection="1">
      <alignment horizontal="center" vertical="center" wrapText="1"/>
      <protection locked="0"/>
    </xf>
    <xf numFmtId="0" fontId="5" fillId="3" borderId="139" xfId="14" applyNumberFormat="1" applyFont="1" applyFill="1" applyBorder="1" applyAlignment="1" applyProtection="1">
      <alignment horizontal="center" vertical="center" wrapText="1"/>
      <protection locked="0"/>
    </xf>
    <xf numFmtId="0" fontId="5" fillId="3" borderId="383" xfId="14" applyNumberFormat="1" applyFont="1" applyFill="1" applyBorder="1" applyAlignment="1" applyProtection="1">
      <alignment horizontal="center"/>
      <protection locked="0"/>
    </xf>
    <xf numFmtId="0" fontId="5" fillId="3" borderId="384" xfId="14" applyNumberFormat="1" applyFont="1" applyFill="1" applyBorder="1" applyAlignment="1" applyProtection="1">
      <alignment horizontal="center" vertical="center" wrapText="1"/>
      <protection locked="0"/>
    </xf>
    <xf numFmtId="0" fontId="5" fillId="3" borderId="384" xfId="14" applyNumberFormat="1" applyFont="1" applyFill="1" applyBorder="1" applyAlignment="1" applyProtection="1">
      <alignment horizontal="center" vertical="center" wrapText="1" shrinkToFit="1"/>
      <protection locked="0"/>
    </xf>
    <xf numFmtId="0" fontId="5" fillId="3" borderId="136" xfId="14" applyNumberFormat="1"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shrinkToFit="1"/>
      <protection locked="0"/>
    </xf>
    <xf numFmtId="0" fontId="5" fillId="3" borderId="135" xfId="14" applyFont="1" applyFill="1" applyBorder="1" applyAlignment="1" applyProtection="1">
      <alignment horizontal="center" vertical="center"/>
      <protection locked="0"/>
    </xf>
    <xf numFmtId="2" fontId="38" fillId="7" borderId="38" xfId="13" applyNumberFormat="1" applyFont="1" applyFill="1" applyBorder="1" applyAlignment="1">
      <alignment horizontal="center" vertical="center" wrapText="1"/>
    </xf>
    <xf numFmtId="2" fontId="38" fillId="7" borderId="96" xfId="13" applyNumberFormat="1" applyFont="1" applyFill="1" applyBorder="1" applyAlignment="1">
      <alignment horizontal="center" vertical="center" wrapText="1"/>
    </xf>
    <xf numFmtId="0" fontId="38" fillId="7" borderId="57" xfId="13" applyFont="1" applyFill="1" applyBorder="1" applyAlignment="1">
      <alignment horizontal="center" vertical="center" shrinkToFit="1"/>
    </xf>
    <xf numFmtId="0" fontId="38" fillId="7" borderId="56" xfId="13" applyFont="1" applyFill="1" applyBorder="1" applyAlignment="1">
      <alignment horizontal="center" vertical="center" shrinkToFit="1"/>
    </xf>
    <xf numFmtId="0" fontId="38" fillId="7" borderId="13" xfId="13" applyFont="1" applyFill="1" applyBorder="1" applyAlignment="1">
      <alignment horizontal="center" vertical="center" shrinkToFit="1"/>
    </xf>
    <xf numFmtId="0" fontId="38" fillId="7" borderId="12" xfId="13" applyFont="1" applyFill="1" applyBorder="1" applyAlignment="1">
      <alignment horizontal="center" vertical="center" shrinkToFit="1"/>
    </xf>
    <xf numFmtId="0" fontId="38" fillId="7" borderId="11" xfId="13" applyFont="1" applyFill="1" applyBorder="1" applyAlignment="1">
      <alignment horizontal="center" vertical="center" shrinkToFit="1"/>
    </xf>
    <xf numFmtId="0" fontId="5" fillId="0" borderId="0" xfId="14" applyFont="1" applyAlignment="1">
      <alignment horizontal="right" vertical="center"/>
    </xf>
    <xf numFmtId="2" fontId="38" fillId="7" borderId="177" xfId="13" applyNumberFormat="1" applyFont="1" applyFill="1" applyBorder="1" applyAlignment="1">
      <alignment horizontal="center" vertical="center" wrapText="1"/>
    </xf>
    <xf numFmtId="2" fontId="38" fillId="7" borderId="170" xfId="13" applyNumberFormat="1" applyFont="1" applyFill="1" applyBorder="1" applyAlignment="1">
      <alignment horizontal="center" vertical="center" wrapText="1"/>
    </xf>
    <xf numFmtId="0" fontId="38" fillId="7" borderId="177" xfId="13" applyFont="1" applyFill="1" applyBorder="1" applyAlignment="1">
      <alignment horizontal="center" vertical="center" shrinkToFit="1"/>
    </xf>
    <xf numFmtId="0" fontId="38" fillId="7" borderId="171" xfId="13" applyFont="1" applyFill="1" applyBorder="1" applyAlignment="1">
      <alignment horizontal="center" vertical="center" shrinkToFit="1"/>
    </xf>
    <xf numFmtId="0" fontId="38" fillId="7" borderId="251" xfId="13" applyFont="1" applyFill="1" applyBorder="1" applyAlignment="1">
      <alignment horizontal="center" vertical="center" shrinkToFit="1"/>
    </xf>
    <xf numFmtId="0" fontId="38" fillId="7" borderId="385" xfId="13" applyFont="1" applyFill="1" applyBorder="1" applyAlignment="1">
      <alignment horizontal="center" vertical="center" shrinkToFit="1"/>
    </xf>
    <xf numFmtId="0" fontId="38" fillId="7" borderId="386" xfId="13" applyFont="1" applyFill="1" applyBorder="1" applyAlignment="1">
      <alignment horizontal="center" vertical="center" shrinkToFit="1"/>
    </xf>
    <xf numFmtId="0" fontId="41" fillId="0" borderId="0" xfId="13" applyFont="1">
      <alignment vertical="center"/>
    </xf>
    <xf numFmtId="2" fontId="42" fillId="0" borderId="0" xfId="13" applyNumberFormat="1" applyFont="1">
      <alignment vertical="center"/>
    </xf>
    <xf numFmtId="0" fontId="42" fillId="0" borderId="0" xfId="13" applyFont="1">
      <alignment vertical="center"/>
    </xf>
    <xf numFmtId="0" fontId="42" fillId="0" borderId="0" xfId="13" applyFont="1" applyBorder="1">
      <alignment vertical="center"/>
    </xf>
    <xf numFmtId="0" fontId="43" fillId="0" borderId="0" xfId="13" applyFont="1" applyBorder="1">
      <alignment vertical="center"/>
    </xf>
    <xf numFmtId="0" fontId="11" fillId="2" borderId="4" xfId="14" applyFont="1" applyFill="1" applyBorder="1"/>
    <xf numFmtId="0" fontId="11" fillId="2" borderId="3" xfId="14" applyFont="1" applyFill="1" applyBorder="1"/>
    <xf numFmtId="0" fontId="11" fillId="2" borderId="3" xfId="14" applyNumberFormat="1" applyFont="1" applyFill="1" applyBorder="1" applyProtection="1">
      <protection locked="0"/>
    </xf>
    <xf numFmtId="242" fontId="11" fillId="2" borderId="3" xfId="14" applyNumberFormat="1" applyFont="1" applyFill="1" applyBorder="1" applyAlignment="1" applyProtection="1">
      <alignment horizontal="left"/>
      <protection locked="0"/>
    </xf>
    <xf numFmtId="0" fontId="11" fillId="2" borderId="3" xfId="14" applyFont="1" applyFill="1" applyBorder="1" applyProtection="1">
      <protection locked="0"/>
    </xf>
    <xf numFmtId="193" fontId="6" fillId="2" borderId="3" xfId="14" applyNumberFormat="1" applyFont="1" applyFill="1" applyBorder="1" applyProtection="1">
      <protection locked="0"/>
    </xf>
    <xf numFmtId="193" fontId="11" fillId="2" borderId="3" xfId="14" applyNumberFormat="1" applyFont="1" applyFill="1" applyBorder="1" applyProtection="1">
      <protection locked="0"/>
    </xf>
    <xf numFmtId="0" fontId="6" fillId="2" borderId="2" xfId="14" applyNumberFormat="1" applyFont="1" applyFill="1" applyBorder="1" applyAlignment="1" applyProtection="1">
      <alignment horizontal="left" vertical="center" indent="1"/>
      <protection locked="0"/>
    </xf>
    <xf numFmtId="0" fontId="5" fillId="0" borderId="100" xfId="14" applyNumberFormat="1" applyFont="1" applyBorder="1" applyAlignment="1" applyProtection="1">
      <alignment horizontal="center" shrinkToFit="1"/>
      <protection locked="0"/>
    </xf>
    <xf numFmtId="0" fontId="5" fillId="0" borderId="62" xfId="14" applyNumberFormat="1" applyFont="1" applyBorder="1" applyAlignment="1" applyProtection="1">
      <alignment horizontal="center" shrinkToFit="1"/>
      <protection locked="0"/>
    </xf>
    <xf numFmtId="0" fontId="5" fillId="0" borderId="380" xfId="14" applyNumberFormat="1" applyFont="1" applyBorder="1" applyAlignment="1" applyProtection="1">
      <alignment shrinkToFit="1"/>
      <protection locked="0"/>
    </xf>
    <xf numFmtId="241" fontId="5" fillId="0" borderId="40" xfId="14" applyNumberFormat="1" applyFont="1" applyBorder="1" applyAlignment="1" applyProtection="1">
      <alignment shrinkToFit="1"/>
      <protection locked="0"/>
    </xf>
    <xf numFmtId="240" fontId="5" fillId="0" borderId="40" xfId="14" applyNumberFormat="1" applyFont="1" applyBorder="1" applyAlignment="1" applyProtection="1">
      <alignment shrinkToFit="1"/>
      <protection locked="0"/>
    </xf>
    <xf numFmtId="240" fontId="5" fillId="0" borderId="0" xfId="14" applyNumberFormat="1" applyFont="1" applyBorder="1" applyAlignment="1" applyProtection="1">
      <alignment shrinkToFit="1"/>
      <protection locked="0"/>
    </xf>
    <xf numFmtId="0" fontId="5" fillId="0" borderId="381" xfId="14" applyNumberFormat="1" applyFont="1" applyBorder="1" applyAlignment="1" applyProtection="1">
      <alignment horizontal="center" shrinkToFit="1"/>
      <protection locked="0"/>
    </xf>
    <xf numFmtId="3" fontId="5" fillId="0" borderId="255" xfId="14" applyNumberFormat="1" applyFont="1" applyBorder="1" applyAlignment="1" applyProtection="1">
      <alignment shrinkToFit="1"/>
      <protection locked="0"/>
    </xf>
    <xf numFmtId="3" fontId="5" fillId="0" borderId="40" xfId="14" applyNumberFormat="1" applyFont="1" applyBorder="1" applyAlignment="1" applyProtection="1">
      <alignment shrinkToFit="1"/>
      <protection locked="0"/>
    </xf>
    <xf numFmtId="3" fontId="18" fillId="0" borderId="40" xfId="14" applyNumberFormat="1" applyFont="1" applyBorder="1" applyAlignment="1" applyProtection="1">
      <alignment shrinkToFit="1"/>
      <protection locked="0"/>
    </xf>
    <xf numFmtId="3" fontId="18" fillId="0" borderId="307" xfId="14" applyNumberFormat="1" applyFont="1" applyBorder="1" applyAlignment="1" applyProtection="1">
      <alignment shrinkToFit="1"/>
      <protection locked="0"/>
    </xf>
    <xf numFmtId="3" fontId="5" fillId="0" borderId="381" xfId="14" applyNumberFormat="1" applyFont="1" applyBorder="1" applyAlignment="1" applyProtection="1">
      <alignment shrinkToFit="1"/>
      <protection locked="0"/>
    </xf>
    <xf numFmtId="3" fontId="5" fillId="0" borderId="62" xfId="14" applyNumberFormat="1" applyFont="1" applyBorder="1" applyAlignment="1" applyProtection="1">
      <alignment shrinkToFit="1"/>
      <protection locked="0"/>
    </xf>
    <xf numFmtId="3" fontId="18" fillId="0" borderId="0" xfId="14" applyNumberFormat="1" applyFont="1" applyBorder="1" applyAlignment="1" applyProtection="1">
      <alignment shrinkToFit="1"/>
      <protection locked="0"/>
    </xf>
    <xf numFmtId="2" fontId="5" fillId="0" borderId="255" xfId="14" applyNumberFormat="1" applyFont="1" applyBorder="1" applyAlignment="1" applyProtection="1">
      <alignment shrinkToFit="1"/>
      <protection locked="0"/>
    </xf>
    <xf numFmtId="2" fontId="5" fillId="0" borderId="206" xfId="14" applyNumberFormat="1" applyFont="1" applyBorder="1" applyAlignment="1" applyProtection="1">
      <alignment shrinkToFit="1"/>
      <protection locked="0"/>
    </xf>
    <xf numFmtId="3" fontId="5" fillId="0" borderId="40" xfId="14" applyNumberFormat="1" applyFont="1" applyFill="1" applyBorder="1" applyAlignment="1" applyProtection="1">
      <alignment shrinkToFit="1"/>
      <protection locked="0"/>
    </xf>
    <xf numFmtId="228" fontId="5" fillId="0" borderId="38" xfId="14" applyNumberFormat="1" applyFont="1" applyBorder="1" applyAlignment="1" applyProtection="1">
      <alignment shrinkToFit="1"/>
      <protection locked="0"/>
    </xf>
    <xf numFmtId="241" fontId="18" fillId="23" borderId="389" xfId="14" applyNumberFormat="1" applyFont="1" applyFill="1" applyBorder="1" applyAlignment="1">
      <alignment vertical="center" shrinkToFit="1"/>
    </xf>
    <xf numFmtId="240" fontId="18" fillId="23" borderId="389" xfId="14" applyNumberFormat="1" applyFont="1" applyFill="1" applyBorder="1" applyAlignment="1">
      <alignment vertical="center" shrinkToFit="1"/>
    </xf>
    <xf numFmtId="0" fontId="18" fillId="23" borderId="390" xfId="14" applyNumberFormat="1" applyFont="1" applyFill="1" applyBorder="1" applyAlignment="1">
      <alignment vertical="center" shrinkToFit="1"/>
    </xf>
    <xf numFmtId="3" fontId="18" fillId="23" borderId="390" xfId="14" applyNumberFormat="1" applyFont="1" applyFill="1" applyBorder="1" applyAlignment="1">
      <alignment vertical="center" shrinkToFit="1"/>
    </xf>
    <xf numFmtId="3" fontId="18" fillId="23" borderId="389" xfId="14" applyNumberFormat="1" applyFont="1" applyFill="1" applyBorder="1" applyAlignment="1">
      <alignment vertical="center" shrinkToFit="1"/>
    </xf>
    <xf numFmtId="2" fontId="18" fillId="23" borderId="390" xfId="14" applyNumberFormat="1" applyFont="1" applyFill="1" applyBorder="1" applyAlignment="1">
      <alignment vertical="center" shrinkToFit="1"/>
    </xf>
    <xf numFmtId="2" fontId="18" fillId="23" borderId="389" xfId="14" applyNumberFormat="1" applyFont="1" applyFill="1" applyBorder="1" applyAlignment="1">
      <alignment vertical="center" shrinkToFit="1"/>
    </xf>
    <xf numFmtId="228" fontId="18" fillId="23" borderId="391" xfId="14" applyNumberFormat="1" applyFont="1" applyFill="1" applyBorder="1" applyAlignment="1">
      <alignment vertical="center" shrinkToFit="1"/>
    </xf>
    <xf numFmtId="0" fontId="18" fillId="23" borderId="388" xfId="14" applyNumberFormat="1" applyFont="1" applyFill="1" applyBorder="1" applyAlignment="1">
      <alignment horizontal="center" vertical="center" shrinkToFit="1"/>
    </xf>
    <xf numFmtId="0" fontId="0" fillId="0" borderId="387" xfId="0" applyBorder="1" applyAlignment="1">
      <alignment horizontal="center" vertical="center" shrinkToFit="1"/>
    </xf>
    <xf numFmtId="0" fontId="0" fillId="0" borderId="392" xfId="0" applyBorder="1" applyAlignment="1">
      <alignment horizontal="center" vertical="center" shrinkToFit="1"/>
    </xf>
    <xf numFmtId="0" fontId="5" fillId="3" borderId="79" xfId="14" applyNumberFormat="1" applyFont="1" applyFill="1" applyBorder="1" applyAlignment="1" applyProtection="1">
      <alignment horizontal="center" vertical="center"/>
      <protection locked="0"/>
    </xf>
    <xf numFmtId="0" fontId="5" fillId="3" borderId="68" xfId="14" applyNumberFormat="1" applyFont="1" applyFill="1" applyBorder="1" applyAlignment="1" applyProtection="1">
      <alignment horizontal="center" vertical="center"/>
      <protection locked="0"/>
    </xf>
    <xf numFmtId="0" fontId="0" fillId="0" borderId="166" xfId="0" applyBorder="1" applyAlignment="1">
      <alignment horizontal="center" vertical="center"/>
    </xf>
    <xf numFmtId="0" fontId="5" fillId="3" borderId="393" xfId="14" applyNumberFormat="1" applyFont="1" applyFill="1" applyBorder="1" applyAlignment="1" applyProtection="1">
      <alignment horizontal="center" vertical="center" wrapText="1"/>
      <protection locked="0"/>
    </xf>
    <xf numFmtId="194" fontId="5" fillId="12" borderId="166" xfId="2" applyNumberFormat="1" applyFont="1" applyFill="1" applyBorder="1" applyAlignment="1" applyProtection="1">
      <alignment horizontal="center" vertical="center" wrapText="1" shrinkToFit="1"/>
      <protection locked="0"/>
    </xf>
    <xf numFmtId="195" fontId="5" fillId="12" borderId="165" xfId="2" applyNumberFormat="1" applyFont="1" applyFill="1" applyBorder="1" applyAlignment="1" applyProtection="1">
      <alignment horizontal="center" vertical="center" wrapText="1" shrinkToFit="1"/>
      <protection locked="0"/>
    </xf>
    <xf numFmtId="196" fontId="5" fillId="12" borderId="56" xfId="2" applyNumberFormat="1" applyFont="1" applyFill="1" applyBorder="1" applyAlignment="1" applyProtection="1">
      <alignment horizontal="center" vertical="center" wrapText="1" shrinkToFit="1"/>
      <protection locked="0"/>
    </xf>
    <xf numFmtId="197" fontId="5" fillId="12" borderId="42" xfId="2" applyNumberFormat="1" applyFont="1" applyFill="1" applyBorder="1" applyAlignment="1" applyProtection="1">
      <alignment horizontal="center" vertical="center" wrapText="1" shrinkToFit="1"/>
      <protection locked="0"/>
    </xf>
    <xf numFmtId="0" fontId="18" fillId="0" borderId="0" xfId="2" applyFont="1" applyFill="1" applyBorder="1" applyAlignment="1" applyProtection="1">
      <alignment horizontal="left" vertical="center" indent="1"/>
      <protection locked="0"/>
    </xf>
    <xf numFmtId="0" fontId="5" fillId="0" borderId="0" xfId="2" applyFont="1" applyFill="1" applyBorder="1" applyAlignment="1" applyProtection="1">
      <alignment horizontal="center"/>
      <protection locked="0"/>
    </xf>
    <xf numFmtId="176" fontId="33" fillId="0" borderId="134" xfId="2" applyNumberFormat="1" applyFont="1" applyFill="1" applyBorder="1" applyAlignment="1" applyProtection="1">
      <alignment horizontal="left" vertical="center" indent="1"/>
      <protection locked="0"/>
    </xf>
    <xf numFmtId="0" fontId="5" fillId="0" borderId="394" xfId="2" applyFont="1" applyFill="1" applyBorder="1" applyAlignment="1" applyProtection="1">
      <alignment horizontal="right"/>
    </xf>
    <xf numFmtId="3" fontId="5" fillId="0" borderId="158" xfId="12" applyNumberFormat="1" applyFont="1" applyFill="1" applyBorder="1" applyAlignment="1" applyProtection="1">
      <alignment horizontal="right" shrinkToFit="1"/>
    </xf>
    <xf numFmtId="0" fontId="5" fillId="0" borderId="0" xfId="2" applyFont="1" applyFill="1" applyBorder="1" applyAlignment="1" applyProtection="1">
      <protection locked="0"/>
    </xf>
    <xf numFmtId="0" fontId="5" fillId="0" borderId="0" xfId="14" applyFont="1" applyAlignment="1"/>
    <xf numFmtId="0" fontId="5" fillId="0" borderId="57" xfId="3" applyFont="1" applyFill="1" applyBorder="1" applyAlignment="1">
      <alignment horizontal="left" vertical="center" indent="1" shrinkToFit="1"/>
    </xf>
    <xf numFmtId="0" fontId="5" fillId="0" borderId="56" xfId="3" applyFont="1" applyFill="1" applyBorder="1" applyAlignment="1">
      <alignment horizontal="left" vertical="center" indent="1" shrinkToFit="1"/>
    </xf>
    <xf numFmtId="0" fontId="5" fillId="0" borderId="97" xfId="3" applyFont="1" applyFill="1" applyBorder="1" applyAlignment="1">
      <alignment horizontal="left" vertical="center" indent="1" shrinkToFit="1"/>
    </xf>
    <xf numFmtId="0" fontId="5" fillId="0" borderId="0" xfId="14" applyFont="1" applyAlignment="1">
      <alignment horizontal="left" indent="1" shrinkToFit="1"/>
    </xf>
    <xf numFmtId="0" fontId="5" fillId="0" borderId="38" xfId="3" applyFont="1" applyFill="1" applyBorder="1" applyAlignment="1">
      <alignment horizontal="left" vertical="center" indent="1" shrinkToFit="1"/>
    </xf>
    <xf numFmtId="0" fontId="5" fillId="0" borderId="0" xfId="3" applyFont="1" applyFill="1" applyBorder="1" applyAlignment="1">
      <alignment horizontal="left" vertical="center" indent="1" shrinkToFit="1"/>
    </xf>
    <xf numFmtId="0" fontId="5" fillId="0" borderId="96" xfId="3" applyFont="1" applyFill="1" applyBorder="1" applyAlignment="1">
      <alignment horizontal="left" vertical="center" indent="1" shrinkToFit="1"/>
    </xf>
    <xf numFmtId="0" fontId="5" fillId="0" borderId="0" xfId="14" applyFont="1" applyBorder="1" applyAlignment="1"/>
    <xf numFmtId="0" fontId="5" fillId="0" borderId="395" xfId="14" applyFont="1" applyBorder="1" applyAlignment="1">
      <alignment horizontal="left" indent="1" shrinkToFit="1"/>
    </xf>
    <xf numFmtId="0" fontId="5" fillId="0" borderId="396" xfId="14" applyFont="1" applyBorder="1" applyAlignment="1"/>
    <xf numFmtId="0" fontId="5" fillId="0" borderId="0" xfId="16" applyFont="1" applyAlignment="1"/>
    <xf numFmtId="0" fontId="5" fillId="0" borderId="0" xfId="14" applyNumberFormat="1" applyFont="1" applyBorder="1" applyAlignment="1" applyProtection="1">
      <protection locked="0"/>
    </xf>
    <xf numFmtId="0" fontId="5" fillId="0" borderId="0" xfId="14" applyNumberFormat="1" applyFont="1" applyBorder="1" applyAlignment="1" applyProtection="1">
      <alignment horizontal="left" indent="1"/>
      <protection locked="0"/>
    </xf>
    <xf numFmtId="0" fontId="5" fillId="0" borderId="0" xfId="16" applyFont="1" applyBorder="1" applyAlignment="1"/>
    <xf numFmtId="0" fontId="5" fillId="0" borderId="0" xfId="14" applyNumberFormat="1" applyFont="1" applyBorder="1" applyAlignment="1"/>
    <xf numFmtId="0" fontId="5" fillId="0" borderId="0" xfId="17" applyFont="1" applyFill="1" applyAlignment="1"/>
    <xf numFmtId="0" fontId="5" fillId="0" borderId="0" xfId="17" applyNumberFormat="1" applyFont="1" applyFill="1" applyBorder="1" applyAlignment="1"/>
    <xf numFmtId="193" fontId="5" fillId="0" borderId="0" xfId="17" applyNumberFormat="1" applyFont="1" applyFill="1" applyBorder="1" applyAlignment="1"/>
    <xf numFmtId="0" fontId="5" fillId="0" borderId="397" xfId="17" applyFont="1" applyFill="1" applyBorder="1" applyAlignment="1">
      <alignment horizontal="center" vertical="center" wrapText="1"/>
    </xf>
    <xf numFmtId="0" fontId="5" fillId="0" borderId="398" xfId="17" applyFont="1" applyFill="1" applyBorder="1" applyAlignment="1">
      <alignment horizontal="center" vertical="center" wrapText="1"/>
    </xf>
    <xf numFmtId="0" fontId="5" fillId="0" borderId="399" xfId="17" applyFont="1" applyFill="1" applyBorder="1" applyAlignment="1">
      <alignment horizontal="center" vertical="center" wrapText="1"/>
    </xf>
    <xf numFmtId="0" fontId="5" fillId="0" borderId="400" xfId="17" applyFont="1" applyFill="1" applyBorder="1" applyAlignment="1">
      <alignment horizontal="center" vertical="center" wrapText="1"/>
    </xf>
    <xf numFmtId="193" fontId="45" fillId="0" borderId="0" xfId="17" applyNumberFormat="1" applyFont="1" applyFill="1" applyBorder="1" applyAlignment="1"/>
    <xf numFmtId="0" fontId="5" fillId="0" borderId="177" xfId="3" applyFont="1" applyFill="1" applyBorder="1" applyAlignment="1">
      <alignment horizontal="left" vertical="center" indent="1" shrinkToFit="1"/>
    </xf>
    <xf numFmtId="0" fontId="5" fillId="0" borderId="171" xfId="3" applyFont="1" applyFill="1" applyBorder="1" applyAlignment="1">
      <alignment horizontal="left" vertical="center" indent="1" shrinkToFit="1"/>
    </xf>
    <xf numFmtId="0" fontId="5" fillId="0" borderId="170" xfId="3" applyFont="1" applyFill="1" applyBorder="1" applyAlignment="1">
      <alignment horizontal="left" vertical="center" indent="1" shrinkToFit="1"/>
    </xf>
    <xf numFmtId="0" fontId="46" fillId="0" borderId="0" xfId="17" applyFont="1" applyFill="1" applyAlignment="1">
      <alignment horizontal="right"/>
    </xf>
    <xf numFmtId="193" fontId="5" fillId="0" borderId="285" xfId="14" applyNumberFormat="1" applyFont="1" applyFill="1" applyBorder="1" applyAlignment="1"/>
    <xf numFmtId="193" fontId="5" fillId="0" borderId="0" xfId="14" applyNumberFormat="1" applyFont="1" applyBorder="1" applyAlignment="1"/>
    <xf numFmtId="0" fontId="10" fillId="0" borderId="0" xfId="14" applyFont="1" applyAlignment="1"/>
    <xf numFmtId="0" fontId="10" fillId="2" borderId="4" xfId="14" applyFont="1" applyFill="1" applyBorder="1" applyAlignment="1"/>
    <xf numFmtId="0" fontId="10" fillId="2" borderId="3" xfId="14" applyFont="1" applyFill="1" applyBorder="1" applyAlignment="1"/>
    <xf numFmtId="0" fontId="10" fillId="2" borderId="3" xfId="14" applyFont="1" applyFill="1" applyBorder="1" applyAlignment="1">
      <alignment vertical="center"/>
    </xf>
    <xf numFmtId="0" fontId="31" fillId="2" borderId="2" xfId="14" applyFont="1" applyFill="1" applyBorder="1" applyAlignment="1">
      <alignment horizontal="left" vertical="center"/>
    </xf>
    <xf numFmtId="0" fontId="10" fillId="2" borderId="35" xfId="14" applyFont="1" applyFill="1" applyBorder="1" applyAlignment="1"/>
    <xf numFmtId="0" fontId="10" fillId="2" borderId="34" xfId="14" applyFont="1" applyFill="1" applyBorder="1" applyAlignment="1"/>
    <xf numFmtId="0" fontId="31" fillId="2" borderId="2" xfId="14" applyFont="1" applyFill="1" applyBorder="1" applyAlignment="1">
      <alignment horizontal="left" vertical="center" indent="1"/>
    </xf>
    <xf numFmtId="0" fontId="5" fillId="0" borderId="0" xfId="14" applyFont="1" applyAlignment="1">
      <alignment shrinkToFit="1"/>
    </xf>
    <xf numFmtId="0" fontId="0" fillId="0" borderId="0" xfId="0" applyAlignment="1">
      <alignment shrinkToFit="1"/>
    </xf>
    <xf numFmtId="0" fontId="5" fillId="0" borderId="396" xfId="14" applyFont="1" applyBorder="1" applyAlignment="1">
      <alignment shrinkToFit="1"/>
    </xf>
    <xf numFmtId="0" fontId="0" fillId="0" borderId="396" xfId="0" applyBorder="1" applyAlignment="1">
      <alignment shrinkToFit="1"/>
    </xf>
    <xf numFmtId="0" fontId="5" fillId="0" borderId="395" xfId="14" applyFont="1" applyBorder="1" applyAlignment="1">
      <alignment shrinkToFit="1"/>
    </xf>
    <xf numFmtId="0" fontId="0" fillId="0" borderId="395" xfId="0" applyBorder="1" applyAlignment="1">
      <alignment shrinkToFit="1"/>
    </xf>
    <xf numFmtId="0" fontId="5" fillId="0" borderId="0" xfId="14" applyNumberFormat="1" applyFont="1" applyBorder="1" applyAlignment="1" applyProtection="1">
      <alignment shrinkToFit="1"/>
      <protection locked="0"/>
    </xf>
    <xf numFmtId="0" fontId="5" fillId="0" borderId="395" xfId="14" applyNumberFormat="1" applyFont="1" applyBorder="1" applyAlignment="1" applyProtection="1">
      <alignment shrinkToFit="1"/>
      <protection locked="0"/>
    </xf>
    <xf numFmtId="0" fontId="5" fillId="0" borderId="0" xfId="14" applyFont="1" applyBorder="1" applyAlignment="1">
      <alignment shrinkToFit="1"/>
    </xf>
    <xf numFmtId="0" fontId="5" fillId="0" borderId="0" xfId="14" applyNumberFormat="1" applyFont="1" applyBorder="1" applyAlignment="1">
      <alignment shrinkToFit="1"/>
    </xf>
    <xf numFmtId="0" fontId="5" fillId="0" borderId="0" xfId="16" applyFont="1" applyBorder="1" applyAlignment="1">
      <alignment shrinkToFit="1"/>
    </xf>
    <xf numFmtId="0" fontId="5" fillId="0" borderId="0" xfId="16" applyFont="1" applyAlignment="1">
      <alignment shrinkToFit="1"/>
    </xf>
    <xf numFmtId="0" fontId="5" fillId="0" borderId="396" xfId="16" applyFont="1" applyBorder="1" applyAlignment="1">
      <alignment shrinkToFit="1"/>
    </xf>
    <xf numFmtId="0" fontId="5" fillId="0" borderId="57" xfId="14" applyNumberFormat="1" applyFont="1" applyBorder="1" applyAlignment="1" applyProtection="1">
      <alignment shrinkToFit="1"/>
      <protection locked="0"/>
    </xf>
    <xf numFmtId="239" fontId="18" fillId="0" borderId="368" xfId="14" applyNumberFormat="1" applyFont="1" applyBorder="1" applyAlignment="1" applyProtection="1">
      <alignment shrinkToFit="1"/>
      <protection locked="0"/>
    </xf>
    <xf numFmtId="3" fontId="18" fillId="0" borderId="366" xfId="14" applyNumberFormat="1" applyFont="1" applyBorder="1" applyAlignment="1" applyProtection="1">
      <alignment shrinkToFit="1"/>
      <protection locked="0"/>
    </xf>
    <xf numFmtId="243" fontId="5" fillId="0" borderId="45" xfId="14" applyNumberFormat="1" applyFont="1" applyBorder="1" applyAlignment="1" applyProtection="1">
      <alignment shrinkToFit="1"/>
      <protection locked="0"/>
    </xf>
    <xf numFmtId="243" fontId="5" fillId="0" borderId="366" xfId="14" applyNumberFormat="1" applyFont="1" applyBorder="1" applyAlignment="1" applyProtection="1">
      <alignment shrinkToFit="1"/>
      <protection locked="0"/>
    </xf>
    <xf numFmtId="244" fontId="5" fillId="0" borderId="45" xfId="14" applyNumberFormat="1" applyFont="1" applyBorder="1" applyAlignment="1" applyProtection="1">
      <alignment shrinkToFit="1"/>
      <protection locked="0"/>
    </xf>
    <xf numFmtId="243" fontId="5" fillId="0" borderId="350" xfId="14" applyNumberFormat="1" applyFont="1" applyBorder="1" applyAlignment="1" applyProtection="1">
      <alignment shrinkToFit="1"/>
      <protection locked="0"/>
    </xf>
    <xf numFmtId="0" fontId="5" fillId="0" borderId="129" xfId="14" applyNumberFormat="1" applyFont="1" applyBorder="1" applyAlignment="1" applyProtection="1">
      <alignment shrinkToFit="1"/>
      <protection locked="0"/>
    </xf>
    <xf numFmtId="239" fontId="18" fillId="0" borderId="303" xfId="14" applyNumberFormat="1" applyFont="1" applyBorder="1" applyAlignment="1" applyProtection="1">
      <alignment shrinkToFit="1"/>
      <protection locked="0"/>
    </xf>
    <xf numFmtId="3" fontId="18" fillId="0" borderId="369" xfId="14" applyNumberFormat="1" applyFont="1" applyBorder="1" applyAlignment="1" applyProtection="1">
      <alignment shrinkToFit="1"/>
      <protection locked="0"/>
    </xf>
    <xf numFmtId="243" fontId="5" fillId="0" borderId="128" xfId="14" applyNumberFormat="1" applyFont="1" applyBorder="1" applyAlignment="1" applyProtection="1">
      <alignment shrinkToFit="1"/>
      <protection locked="0"/>
    </xf>
    <xf numFmtId="243" fontId="5" fillId="0" borderId="369" xfId="14" applyNumberFormat="1" applyFont="1" applyBorder="1" applyAlignment="1" applyProtection="1">
      <alignment shrinkToFit="1"/>
      <protection locked="0"/>
    </xf>
    <xf numFmtId="244" fontId="5" fillId="0" borderId="128" xfId="14" applyNumberFormat="1" applyFont="1" applyBorder="1" applyAlignment="1" applyProtection="1">
      <alignment shrinkToFit="1"/>
      <protection locked="0"/>
    </xf>
    <xf numFmtId="243" fontId="5" fillId="0" borderId="192" xfId="14" applyNumberFormat="1" applyFont="1" applyBorder="1" applyAlignment="1" applyProtection="1">
      <alignment shrinkToFit="1"/>
      <protection locked="0"/>
    </xf>
    <xf numFmtId="0" fontId="5" fillId="0" borderId="193" xfId="14" applyNumberFormat="1" applyFont="1" applyBorder="1" applyAlignment="1" applyProtection="1">
      <alignment shrinkToFit="1"/>
      <protection locked="0"/>
    </xf>
    <xf numFmtId="239" fontId="18" fillId="0" borderId="347" xfId="14" applyNumberFormat="1" applyFont="1" applyBorder="1" applyAlignment="1" applyProtection="1">
      <alignment shrinkToFit="1"/>
      <protection locked="0"/>
    </xf>
    <xf numFmtId="3" fontId="18" fillId="0" borderId="65" xfId="14" applyNumberFormat="1" applyFont="1" applyBorder="1" applyAlignment="1" applyProtection="1">
      <alignment shrinkToFit="1"/>
      <protection locked="0"/>
    </xf>
    <xf numFmtId="243" fontId="5" fillId="0" borderId="64" xfId="14" applyNumberFormat="1" applyFont="1" applyBorder="1" applyAlignment="1" applyProtection="1">
      <alignment shrinkToFit="1"/>
      <protection locked="0"/>
    </xf>
    <xf numFmtId="243" fontId="5" fillId="0" borderId="65" xfId="14" applyNumberFormat="1" applyFont="1" applyBorder="1" applyAlignment="1" applyProtection="1">
      <alignment shrinkToFit="1"/>
      <protection locked="0"/>
    </xf>
    <xf numFmtId="244" fontId="5" fillId="0" borderId="64" xfId="14" applyNumberFormat="1" applyFont="1" applyBorder="1" applyAlignment="1" applyProtection="1">
      <alignment shrinkToFit="1"/>
      <protection locked="0"/>
    </xf>
    <xf numFmtId="243" fontId="5" fillId="0" borderId="346" xfId="14" applyNumberFormat="1" applyFont="1" applyBorder="1" applyAlignment="1" applyProtection="1">
      <alignment shrinkToFit="1"/>
      <protection locked="0"/>
    </xf>
    <xf numFmtId="0" fontId="5" fillId="3" borderId="57" xfId="14" applyNumberFormat="1" applyFont="1" applyFill="1" applyBorder="1" applyAlignment="1" applyProtection="1">
      <alignment horizontal="center" vertical="center" wrapText="1" shrinkToFit="1"/>
      <protection locked="0"/>
    </xf>
    <xf numFmtId="0" fontId="5" fillId="3" borderId="368" xfId="14" applyNumberFormat="1" applyFont="1" applyFill="1" applyBorder="1" applyAlignment="1" applyProtection="1">
      <alignment horizontal="center" vertical="center" wrapText="1" shrinkToFit="1"/>
      <protection locked="0"/>
    </xf>
    <xf numFmtId="0" fontId="5" fillId="3" borderId="366" xfId="14" applyNumberFormat="1" applyFont="1" applyFill="1" applyBorder="1" applyAlignment="1" applyProtection="1">
      <alignment horizontal="center" vertical="center" wrapText="1" shrinkToFit="1"/>
      <protection locked="0"/>
    </xf>
    <xf numFmtId="0" fontId="5" fillId="3" borderId="366" xfId="14" applyNumberFormat="1" applyFont="1" applyFill="1" applyBorder="1" applyAlignment="1" applyProtection="1">
      <alignment horizontal="center" vertical="center" wrapText="1" shrinkToFit="1"/>
      <protection locked="0"/>
    </xf>
    <xf numFmtId="0" fontId="5" fillId="3" borderId="350" xfId="14" applyNumberFormat="1" applyFont="1" applyFill="1" applyBorder="1" applyAlignment="1" applyProtection="1">
      <alignment horizontal="center" vertical="center" shrinkToFit="1"/>
      <protection locked="0"/>
    </xf>
    <xf numFmtId="0" fontId="5" fillId="3" borderId="368" xfId="14" applyFont="1" applyFill="1" applyBorder="1" applyAlignment="1" applyProtection="1">
      <alignment horizontal="center" vertical="center" shrinkToFit="1"/>
      <protection locked="0"/>
    </xf>
    <xf numFmtId="0" fontId="5" fillId="3" borderId="366" xfId="14" applyFont="1" applyFill="1" applyBorder="1" applyAlignment="1" applyProtection="1">
      <alignment horizontal="center" vertical="center" shrinkToFit="1"/>
      <protection locked="0"/>
    </xf>
    <xf numFmtId="0" fontId="5" fillId="3" borderId="159" xfId="14" applyFont="1" applyFill="1" applyBorder="1" applyAlignment="1" applyProtection="1">
      <alignment horizontal="center" vertical="center"/>
      <protection locked="0"/>
    </xf>
    <xf numFmtId="0" fontId="5" fillId="3" borderId="38" xfId="14" applyNumberFormat="1" applyFont="1" applyFill="1" applyBorder="1" applyAlignment="1" applyProtection="1">
      <alignment horizontal="center" vertical="center" wrapText="1" shrinkToFit="1"/>
      <protection locked="0"/>
    </xf>
    <xf numFmtId="0" fontId="5" fillId="3" borderId="206" xfId="14" applyNumberFormat="1" applyFont="1" applyFill="1" applyBorder="1" applyAlignment="1" applyProtection="1">
      <alignment horizontal="center" vertical="center" wrapText="1" shrinkToFit="1"/>
      <protection locked="0"/>
    </xf>
    <xf numFmtId="0" fontId="5" fillId="3" borderId="0" xfId="14" applyNumberFormat="1" applyFont="1" applyFill="1" applyBorder="1" applyAlignment="1" applyProtection="1">
      <alignment horizontal="center" vertical="center" wrapText="1" shrinkToFit="1"/>
      <protection locked="0"/>
    </xf>
    <xf numFmtId="0" fontId="5" fillId="3" borderId="68" xfId="14" applyNumberFormat="1" applyFont="1" applyFill="1" applyBorder="1" applyAlignment="1" applyProtection="1">
      <alignment horizontal="center" vertical="center" wrapText="1"/>
      <protection locked="0"/>
    </xf>
    <xf numFmtId="0" fontId="5" fillId="3" borderId="363" xfId="14" applyNumberFormat="1" applyFont="1" applyFill="1" applyBorder="1" applyAlignment="1" applyProtection="1">
      <alignment horizontal="center" vertical="center" wrapText="1"/>
      <protection locked="0"/>
    </xf>
    <xf numFmtId="0" fontId="5" fillId="3" borderId="307" xfId="14" applyFont="1" applyFill="1" applyBorder="1" applyAlignment="1" applyProtection="1">
      <alignment horizontal="center" vertical="center" shrinkToFit="1"/>
      <protection locked="0"/>
    </xf>
    <xf numFmtId="0" fontId="5" fillId="3" borderId="213" xfId="14" applyNumberFormat="1" applyFont="1" applyFill="1" applyBorder="1" applyAlignment="1" applyProtection="1">
      <alignment horizontal="center" vertical="center" wrapText="1" shrinkToFit="1"/>
      <protection locked="0"/>
    </xf>
    <xf numFmtId="0" fontId="5" fillId="3" borderId="79" xfId="14" applyNumberFormat="1" applyFont="1" applyFill="1" applyBorder="1" applyAlignment="1" applyProtection="1">
      <alignment horizontal="center" vertical="center" wrapText="1"/>
      <protection locked="0"/>
    </xf>
    <xf numFmtId="0" fontId="5" fillId="3" borderId="35" xfId="14" applyNumberFormat="1" applyFont="1" applyFill="1" applyBorder="1" applyAlignment="1" applyProtection="1">
      <alignment horizontal="center" vertical="center" wrapText="1" shrinkToFit="1"/>
      <protection locked="0"/>
    </xf>
    <xf numFmtId="0" fontId="5" fillId="3" borderId="383" xfId="14" applyNumberFormat="1" applyFont="1" applyFill="1" applyBorder="1" applyAlignment="1" applyProtection="1">
      <alignment horizontal="center" vertical="center" wrapText="1"/>
      <protection locked="0"/>
    </xf>
    <xf numFmtId="0" fontId="5" fillId="3" borderId="84" xfId="14" applyNumberFormat="1" applyFont="1" applyFill="1" applyBorder="1" applyAlignment="1" applyProtection="1">
      <alignment horizontal="center" vertical="center" wrapText="1"/>
      <protection locked="0"/>
    </xf>
    <xf numFmtId="0" fontId="5" fillId="3" borderId="143" xfId="14" applyNumberFormat="1" applyFont="1" applyFill="1" applyBorder="1" applyAlignment="1" applyProtection="1">
      <alignment horizontal="center" vertical="center" wrapText="1"/>
      <protection locked="0"/>
    </xf>
    <xf numFmtId="0" fontId="5" fillId="3" borderId="136" xfId="14" applyFont="1" applyFill="1" applyBorder="1" applyAlignment="1" applyProtection="1">
      <alignment horizontal="center" vertical="center" shrinkToFit="1"/>
      <protection locked="0"/>
    </xf>
    <xf numFmtId="0" fontId="48" fillId="0" borderId="0" xfId="13" applyFont="1">
      <alignment vertical="center"/>
    </xf>
    <xf numFmtId="0" fontId="2" fillId="2" borderId="4" xfId="14" applyFont="1" applyFill="1" applyBorder="1"/>
    <xf numFmtId="0" fontId="2" fillId="2" borderId="3" xfId="14" applyNumberFormat="1" applyFont="1" applyFill="1" applyBorder="1" applyProtection="1">
      <protection locked="0"/>
    </xf>
    <xf numFmtId="0" fontId="2" fillId="2" borderId="3" xfId="14" applyFont="1" applyFill="1" applyBorder="1"/>
    <xf numFmtId="193" fontId="49" fillId="2" borderId="3" xfId="14" applyNumberFormat="1" applyFont="1" applyFill="1" applyBorder="1" applyProtection="1">
      <protection locked="0"/>
    </xf>
    <xf numFmtId="193" fontId="2" fillId="2" borderId="3" xfId="14" applyNumberFormat="1" applyFont="1" applyFill="1" applyBorder="1" applyProtection="1">
      <protection locked="0"/>
    </xf>
    <xf numFmtId="0" fontId="49" fillId="2" borderId="2" xfId="14" applyNumberFormat="1" applyFont="1" applyFill="1" applyBorder="1" applyAlignment="1" applyProtection="1">
      <alignment horizontal="left" vertical="center" indent="1"/>
      <protection locked="0"/>
    </xf>
    <xf numFmtId="243" fontId="5" fillId="0" borderId="255" xfId="14" applyNumberFormat="1" applyFont="1" applyBorder="1" applyAlignment="1" applyProtection="1">
      <alignment shrinkToFit="1"/>
      <protection locked="0"/>
    </xf>
    <xf numFmtId="244" fontId="5" fillId="0" borderId="40" xfId="14" applyNumberFormat="1" applyFont="1" applyBorder="1" applyAlignment="1" applyProtection="1">
      <alignment shrinkToFit="1"/>
      <protection locked="0"/>
    </xf>
    <xf numFmtId="243" fontId="5" fillId="0" borderId="62" xfId="14" applyNumberFormat="1" applyFont="1" applyBorder="1" applyAlignment="1" applyProtection="1">
      <alignment shrinkToFit="1"/>
      <protection locked="0"/>
    </xf>
    <xf numFmtId="243" fontId="5" fillId="0" borderId="40" xfId="14" applyNumberFormat="1" applyFont="1" applyBorder="1" applyAlignment="1" applyProtection="1">
      <alignment shrinkToFit="1"/>
      <protection locked="0"/>
    </xf>
    <xf numFmtId="3" fontId="18" fillId="0" borderId="62" xfId="14" applyNumberFormat="1" applyFont="1" applyBorder="1" applyAlignment="1" applyProtection="1">
      <alignment shrinkToFit="1"/>
      <protection locked="0"/>
    </xf>
    <xf numFmtId="239" fontId="18" fillId="0" borderId="307" xfId="14" applyNumberFormat="1" applyFont="1" applyBorder="1" applyAlignment="1" applyProtection="1">
      <alignment shrinkToFit="1"/>
      <protection locked="0"/>
    </xf>
    <xf numFmtId="0" fontId="5" fillId="0" borderId="38" xfId="14" applyNumberFormat="1" applyFont="1" applyBorder="1" applyAlignment="1" applyProtection="1">
      <alignment shrinkToFit="1"/>
      <protection locked="0"/>
    </xf>
    <xf numFmtId="0" fontId="5" fillId="0" borderId="369" xfId="14" applyNumberFormat="1" applyFont="1" applyBorder="1" applyAlignment="1" applyProtection="1">
      <alignment shrinkToFit="1"/>
      <protection locked="0"/>
    </xf>
    <xf numFmtId="3" fontId="18" fillId="23" borderId="403" xfId="14" applyNumberFormat="1" applyFont="1" applyFill="1" applyBorder="1" applyAlignment="1" applyProtection="1">
      <alignment vertical="center" shrinkToFit="1"/>
      <protection locked="0"/>
    </xf>
    <xf numFmtId="243" fontId="18" fillId="23" borderId="403" xfId="14" applyNumberFormat="1" applyFont="1" applyFill="1" applyBorder="1" applyAlignment="1" applyProtection="1">
      <alignment vertical="center" shrinkToFit="1"/>
      <protection locked="0"/>
    </xf>
    <xf numFmtId="244" fontId="18" fillId="23" borderId="402" xfId="14" applyNumberFormat="1" applyFont="1" applyFill="1" applyBorder="1" applyAlignment="1" applyProtection="1">
      <alignment vertical="center" shrinkToFit="1"/>
      <protection locked="0"/>
    </xf>
    <xf numFmtId="243" fontId="18" fillId="23" borderId="402" xfId="14" applyNumberFormat="1" applyFont="1" applyFill="1" applyBorder="1" applyAlignment="1" applyProtection="1">
      <alignment vertical="center" shrinkToFit="1"/>
      <protection locked="0"/>
    </xf>
    <xf numFmtId="3" fontId="18" fillId="23" borderId="402" xfId="14" applyNumberFormat="1" applyFont="1" applyFill="1" applyBorder="1" applyAlignment="1" applyProtection="1">
      <alignment vertical="center" shrinkToFit="1"/>
      <protection locked="0"/>
    </xf>
    <xf numFmtId="239" fontId="18" fillId="23" borderId="402" xfId="14" applyNumberFormat="1" applyFont="1" applyFill="1" applyBorder="1" applyAlignment="1" applyProtection="1">
      <alignment vertical="center" shrinkToFit="1"/>
      <protection locked="0"/>
    </xf>
    <xf numFmtId="0" fontId="18" fillId="23" borderId="404" xfId="14" applyNumberFormat="1" applyFont="1" applyFill="1" applyBorder="1" applyAlignment="1" applyProtection="1">
      <alignment vertical="center" shrinkToFit="1"/>
      <protection locked="0"/>
    </xf>
    <xf numFmtId="0" fontId="18" fillId="23" borderId="401" xfId="14" applyNumberFormat="1" applyFont="1" applyFill="1" applyBorder="1" applyAlignment="1" applyProtection="1">
      <alignment horizontal="center" vertical="center" shrinkToFit="1"/>
      <protection locked="0"/>
    </xf>
    <xf numFmtId="0" fontId="0" fillId="0" borderId="405" xfId="0" applyBorder="1" applyAlignment="1">
      <alignment horizontal="center" vertical="center" shrinkToFit="1"/>
    </xf>
    <xf numFmtId="0" fontId="0" fillId="0" borderId="406" xfId="0" applyBorder="1" applyAlignment="1">
      <alignment horizontal="center" vertical="center" shrinkToFit="1"/>
    </xf>
    <xf numFmtId="3" fontId="5" fillId="0" borderId="129" xfId="14" applyNumberFormat="1" applyFont="1" applyBorder="1" applyAlignment="1" applyProtection="1">
      <alignment shrinkToFit="1"/>
      <protection locked="0"/>
    </xf>
    <xf numFmtId="3" fontId="5" fillId="0" borderId="149" xfId="14" applyNumberFormat="1" applyFont="1" applyBorder="1" applyAlignment="1" applyProtection="1">
      <alignment shrinkToFit="1"/>
      <protection locked="0"/>
    </xf>
    <xf numFmtId="0" fontId="5" fillId="0" borderId="306" xfId="14" applyNumberFormat="1" applyFont="1" applyBorder="1" applyAlignment="1" applyProtection="1">
      <alignment shrinkToFit="1"/>
      <protection locked="0"/>
    </xf>
    <xf numFmtId="183" fontId="5" fillId="3" borderId="307" xfId="14" applyNumberFormat="1" applyFont="1" applyFill="1" applyBorder="1" applyAlignment="1" applyProtection="1">
      <alignment horizontal="center" vertical="center" shrinkToFit="1"/>
      <protection locked="0"/>
    </xf>
    <xf numFmtId="183" fontId="5" fillId="3" borderId="40" xfId="14" applyNumberFormat="1" applyFont="1" applyFill="1" applyBorder="1" applyAlignment="1" applyProtection="1">
      <alignment horizontal="center" vertical="center" shrinkToFit="1"/>
      <protection locked="0"/>
    </xf>
    <xf numFmtId="183" fontId="5" fillId="3" borderId="255" xfId="14" applyNumberFormat="1" applyFont="1" applyFill="1" applyBorder="1" applyAlignment="1" applyProtection="1">
      <alignment horizontal="center" vertical="center" shrinkToFit="1"/>
      <protection locked="0"/>
    </xf>
    <xf numFmtId="0" fontId="5" fillId="3" borderId="407" xfId="14" applyNumberFormat="1" applyFont="1" applyFill="1" applyBorder="1" applyAlignment="1" applyProtection="1">
      <alignment horizontal="center" vertical="center" wrapText="1" shrinkToFit="1"/>
      <protection locked="0"/>
    </xf>
    <xf numFmtId="0" fontId="5" fillId="3" borderId="138" xfId="14" applyNumberFormat="1" applyFont="1" applyFill="1" applyBorder="1" applyAlignment="1" applyProtection="1">
      <alignment horizontal="center" vertical="center"/>
      <protection locked="0"/>
    </xf>
    <xf numFmtId="0" fontId="5" fillId="3" borderId="34" xfId="14" applyNumberFormat="1" applyFont="1" applyFill="1" applyBorder="1" applyAlignment="1" applyProtection="1">
      <alignment horizontal="center" vertical="center"/>
      <protection locked="0"/>
    </xf>
    <xf numFmtId="0" fontId="5" fillId="3" borderId="139" xfId="14" applyNumberFormat="1" applyFont="1" applyFill="1" applyBorder="1" applyAlignment="1" applyProtection="1">
      <alignment horizontal="center" vertical="center"/>
      <protection locked="0"/>
    </xf>
    <xf numFmtId="0" fontId="5" fillId="3" borderId="138" xfId="14" applyFont="1" applyFill="1" applyBorder="1" applyAlignment="1" applyProtection="1">
      <alignment horizontal="center" vertical="center" wrapText="1" shrinkToFit="1"/>
      <protection locked="0"/>
    </xf>
    <xf numFmtId="0" fontId="50" fillId="0" borderId="0" xfId="13" applyFont="1">
      <alignment vertical="center"/>
    </xf>
    <xf numFmtId="0" fontId="51" fillId="2" borderId="4" xfId="14" applyFont="1" applyFill="1" applyBorder="1"/>
    <xf numFmtId="0" fontId="51" fillId="2" borderId="3" xfId="14" applyFont="1" applyFill="1" applyBorder="1"/>
    <xf numFmtId="0" fontId="51" fillId="2" borderId="3" xfId="14" applyNumberFormat="1" applyFont="1" applyFill="1" applyBorder="1" applyProtection="1">
      <protection locked="0"/>
    </xf>
    <xf numFmtId="242" fontId="51" fillId="2" borderId="3" xfId="14" applyNumberFormat="1" applyFont="1" applyFill="1" applyBorder="1" applyAlignment="1" applyProtection="1">
      <alignment horizontal="left"/>
      <protection locked="0"/>
    </xf>
    <xf numFmtId="0" fontId="51" fillId="2" borderId="3" xfId="14" applyFont="1" applyFill="1" applyBorder="1" applyProtection="1">
      <protection locked="0"/>
    </xf>
    <xf numFmtId="193" fontId="8" fillId="2" borderId="3" xfId="14" applyNumberFormat="1" applyFont="1" applyFill="1" applyBorder="1" applyProtection="1">
      <protection locked="0"/>
    </xf>
    <xf numFmtId="193" fontId="51" fillId="2" borderId="3" xfId="14" applyNumberFormat="1" applyFont="1" applyFill="1" applyBorder="1" applyProtection="1">
      <protection locked="0"/>
    </xf>
    <xf numFmtId="0" fontId="8" fillId="2" borderId="2" xfId="14" applyNumberFormat="1" applyFont="1" applyFill="1" applyBorder="1" applyAlignment="1" applyProtection="1">
      <alignment horizontal="left" vertical="center" indent="1"/>
      <protection locked="0"/>
    </xf>
    <xf numFmtId="0" fontId="5" fillId="3" borderId="206" xfId="14" applyFont="1" applyFill="1" applyBorder="1" applyAlignment="1" applyProtection="1">
      <alignment horizontal="center" vertical="center" wrapText="1" shrinkToFit="1"/>
      <protection locked="0"/>
    </xf>
    <xf numFmtId="0" fontId="5" fillId="3" borderId="408" xfId="14" applyNumberFormat="1" applyFont="1" applyFill="1" applyBorder="1" applyAlignment="1" applyProtection="1">
      <alignment horizontal="center" vertical="center" wrapText="1" shrinkToFit="1"/>
      <protection locked="0"/>
    </xf>
    <xf numFmtId="0" fontId="5" fillId="0" borderId="303" xfId="14" applyNumberFormat="1" applyFont="1" applyBorder="1" applyAlignment="1" applyProtection="1">
      <alignment shrinkToFit="1"/>
      <protection locked="0"/>
    </xf>
    <xf numFmtId="0" fontId="0" fillId="0" borderId="415" xfId="0" applyBorder="1" applyAlignment="1">
      <alignment horizontal="center" vertical="center" shrinkToFit="1"/>
    </xf>
    <xf numFmtId="0" fontId="5" fillId="0" borderId="382" xfId="14" applyNumberFormat="1" applyFont="1" applyBorder="1" applyAlignment="1" applyProtection="1">
      <alignment shrinkToFit="1"/>
      <protection locked="0"/>
    </xf>
    <xf numFmtId="3" fontId="5" fillId="0" borderId="206" xfId="14" applyNumberFormat="1" applyFont="1" applyBorder="1" applyAlignment="1" applyProtection="1">
      <alignment shrinkToFit="1"/>
      <protection locked="0"/>
    </xf>
    <xf numFmtId="3" fontId="5" fillId="0" borderId="38" xfId="14" applyNumberFormat="1" applyFont="1" applyBorder="1" applyAlignment="1" applyProtection="1">
      <alignment shrinkToFit="1"/>
      <protection locked="0"/>
    </xf>
    <xf numFmtId="0" fontId="18" fillId="24" borderId="416" xfId="14" applyNumberFormat="1" applyFont="1" applyFill="1" applyBorder="1" applyAlignment="1" applyProtection="1">
      <alignment horizontal="center" vertical="center" shrinkToFit="1"/>
      <protection locked="0"/>
    </xf>
    <xf numFmtId="0" fontId="0" fillId="0" borderId="417" xfId="0" applyBorder="1" applyAlignment="1">
      <alignment horizontal="center" vertical="center" shrinkToFit="1"/>
    </xf>
    <xf numFmtId="0" fontId="0" fillId="0" borderId="418" xfId="0" applyBorder="1" applyAlignment="1">
      <alignment horizontal="center" vertical="center" shrinkToFit="1"/>
    </xf>
    <xf numFmtId="0" fontId="18" fillId="0" borderId="409" xfId="14" applyNumberFormat="1" applyFont="1" applyBorder="1" applyAlignment="1" applyProtection="1">
      <alignment vertical="center" shrinkToFit="1"/>
      <protection locked="0"/>
    </xf>
    <xf numFmtId="241" fontId="18" fillId="0" borderId="410" xfId="14" applyNumberFormat="1" applyFont="1" applyBorder="1" applyAlignment="1" applyProtection="1">
      <alignment vertical="center" shrinkToFit="1"/>
      <protection locked="0"/>
    </xf>
    <xf numFmtId="3" fontId="18" fillId="0" borderId="411" xfId="14" applyNumberFormat="1" applyFont="1" applyBorder="1" applyAlignment="1" applyProtection="1">
      <alignment vertical="center" shrinkToFit="1"/>
      <protection locked="0"/>
    </xf>
    <xf numFmtId="3" fontId="18" fillId="0" borderId="410" xfId="14" applyNumberFormat="1" applyFont="1" applyBorder="1" applyAlignment="1" applyProtection="1">
      <alignment vertical="center" shrinkToFit="1"/>
      <protection locked="0"/>
    </xf>
    <xf numFmtId="3" fontId="18" fillId="0" borderId="412" xfId="14" applyNumberFormat="1" applyFont="1" applyBorder="1" applyAlignment="1" applyProtection="1">
      <alignment vertical="center" shrinkToFit="1"/>
      <protection locked="0"/>
    </xf>
    <xf numFmtId="3" fontId="18" fillId="0" borderId="413" xfId="14" applyNumberFormat="1" applyFont="1" applyBorder="1" applyAlignment="1" applyProtection="1">
      <alignment vertical="center" shrinkToFit="1"/>
      <protection locked="0"/>
    </xf>
    <xf numFmtId="0" fontId="18" fillId="0" borderId="414" xfId="14" applyNumberFormat="1" applyFont="1" applyBorder="1" applyAlignment="1" applyProtection="1">
      <alignment horizontal="left" vertical="center" indent="1" shrinkToFit="1"/>
      <protection locked="0"/>
    </xf>
    <xf numFmtId="0" fontId="0" fillId="0" borderId="415" xfId="0" applyBorder="1" applyAlignment="1">
      <alignment horizontal="left" vertical="center" indent="1" shrinkToFit="1"/>
    </xf>
    <xf numFmtId="0" fontId="0" fillId="0" borderId="412" xfId="0" applyBorder="1" applyAlignment="1">
      <alignment horizontal="left" vertical="center" indent="1" shrinkToFit="1"/>
    </xf>
    <xf numFmtId="0" fontId="18" fillId="25" borderId="416" xfId="14" applyNumberFormat="1" applyFont="1" applyFill="1" applyBorder="1" applyAlignment="1" applyProtection="1">
      <alignment horizontal="center" vertical="center" shrinkToFit="1"/>
      <protection locked="0"/>
    </xf>
    <xf numFmtId="0" fontId="18" fillId="26" borderId="416" xfId="14" applyNumberFormat="1" applyFont="1" applyFill="1" applyBorder="1" applyAlignment="1" applyProtection="1">
      <alignment horizontal="center" vertical="center" shrinkToFit="1"/>
      <protection locked="0"/>
    </xf>
    <xf numFmtId="0" fontId="5" fillId="0" borderId="419" xfId="14" applyNumberFormat="1" applyFont="1" applyBorder="1" applyAlignment="1" applyProtection="1">
      <alignment horizontal="center" vertical="center" shrinkToFit="1"/>
      <protection locked="0"/>
    </xf>
    <xf numFmtId="0" fontId="5" fillId="0" borderId="420" xfId="14" applyNumberFormat="1" applyFont="1" applyBorder="1" applyAlignment="1" applyProtection="1">
      <alignment horizontal="center" vertical="center" shrinkToFit="1"/>
      <protection locked="0"/>
    </xf>
    <xf numFmtId="0" fontId="5" fillId="0" borderId="420" xfId="14" applyNumberFormat="1" applyFont="1" applyBorder="1" applyAlignment="1" applyProtection="1">
      <alignment horizontal="left" vertical="center" shrinkToFit="1"/>
      <protection locked="0"/>
    </xf>
    <xf numFmtId="0" fontId="0" fillId="0" borderId="421" xfId="0" applyBorder="1" applyAlignment="1">
      <alignment horizontal="left" vertical="center" shrinkToFit="1"/>
    </xf>
    <xf numFmtId="3" fontId="5" fillId="0" borderId="422" xfId="14" applyNumberFormat="1" applyFont="1" applyBorder="1" applyAlignment="1" applyProtection="1">
      <alignment vertical="center" shrinkToFit="1"/>
      <protection locked="0"/>
    </xf>
    <xf numFmtId="3" fontId="5" fillId="0" borderId="420" xfId="14" applyNumberFormat="1" applyFont="1" applyBorder="1" applyAlignment="1" applyProtection="1">
      <alignment vertical="center" shrinkToFit="1"/>
      <protection locked="0"/>
    </xf>
    <xf numFmtId="3" fontId="5" fillId="0" borderId="423" xfId="14" applyNumberFormat="1" applyFont="1" applyBorder="1" applyAlignment="1" applyProtection="1">
      <alignment vertical="center" shrinkToFit="1"/>
      <protection locked="0"/>
    </xf>
    <xf numFmtId="0" fontId="18" fillId="0" borderId="402" xfId="14" applyNumberFormat="1" applyFont="1" applyBorder="1" applyAlignment="1" applyProtection="1">
      <alignment vertical="center" shrinkToFit="1"/>
      <protection locked="0"/>
    </xf>
    <xf numFmtId="3" fontId="18" fillId="0" borderId="403" xfId="14" applyNumberFormat="1" applyFont="1" applyBorder="1" applyAlignment="1" applyProtection="1">
      <alignment vertical="center" shrinkToFit="1"/>
      <protection locked="0"/>
    </xf>
    <xf numFmtId="3" fontId="18" fillId="0" borderId="402" xfId="14" applyNumberFormat="1" applyFont="1" applyBorder="1" applyAlignment="1" applyProtection="1">
      <alignment vertical="center" shrinkToFit="1"/>
      <protection locked="0"/>
    </xf>
    <xf numFmtId="3" fontId="18" fillId="0" borderId="404" xfId="14" applyNumberFormat="1" applyFont="1" applyBorder="1" applyAlignment="1" applyProtection="1">
      <alignment vertical="center" shrinkToFit="1"/>
      <protection locked="0"/>
    </xf>
    <xf numFmtId="0" fontId="18" fillId="0" borderId="401" xfId="14" applyNumberFormat="1" applyFont="1" applyBorder="1" applyAlignment="1" applyProtection="1">
      <alignment horizontal="center" vertical="center" shrinkToFit="1"/>
      <protection locked="0"/>
    </xf>
    <xf numFmtId="241" fontId="18" fillId="0" borderId="403" xfId="14" applyNumberFormat="1" applyFont="1" applyBorder="1" applyAlignment="1" applyProtection="1">
      <alignment vertical="center" shrinkToFit="1"/>
      <protection locked="0"/>
    </xf>
    <xf numFmtId="3" fontId="18" fillId="0" borderId="390" xfId="14" applyNumberFormat="1" applyFont="1" applyBorder="1" applyAlignment="1" applyProtection="1">
      <alignment vertical="center" shrinkToFit="1"/>
      <protection locked="0"/>
    </xf>
    <xf numFmtId="3" fontId="18" fillId="0" borderId="389" xfId="14" applyNumberFormat="1" applyFont="1" applyBorder="1" applyAlignment="1" applyProtection="1">
      <alignment vertical="center" shrinkToFit="1"/>
      <protection locked="0"/>
    </xf>
    <xf numFmtId="3" fontId="18" fillId="0" borderId="424" xfId="14" applyNumberFormat="1" applyFont="1" applyBorder="1" applyAlignment="1" applyProtection="1">
      <alignment vertical="center" shrinkToFit="1"/>
      <protection locked="0"/>
    </xf>
    <xf numFmtId="0" fontId="18" fillId="0" borderId="388" xfId="14" applyNumberFormat="1" applyFont="1" applyBorder="1" applyAlignment="1" applyProtection="1">
      <alignment horizontal="center" vertical="center" shrinkToFit="1"/>
      <protection locked="0"/>
    </xf>
    <xf numFmtId="0" fontId="0" fillId="0" borderId="425" xfId="0" applyBorder="1" applyAlignment="1">
      <alignment horizontal="center" vertical="center" shrinkToFit="1"/>
    </xf>
    <xf numFmtId="241" fontId="18" fillId="0" borderId="390" xfId="14" applyNumberFormat="1" applyFont="1" applyBorder="1" applyAlignment="1" applyProtection="1">
      <alignment vertical="center" shrinkToFit="1"/>
      <protection locked="0"/>
    </xf>
    <xf numFmtId="0" fontId="5" fillId="0" borderId="307" xfId="14" applyNumberFormat="1" applyFont="1" applyBorder="1" applyAlignment="1" applyProtection="1">
      <alignment shrinkToFit="1"/>
      <protection locked="0"/>
    </xf>
    <xf numFmtId="241" fontId="18" fillId="24" borderId="428" xfId="14" applyNumberFormat="1" applyFont="1" applyFill="1" applyBorder="1" applyAlignment="1" applyProtection="1">
      <alignment vertical="center" shrinkToFit="1"/>
      <protection locked="0"/>
    </xf>
    <xf numFmtId="3" fontId="18" fillId="24" borderId="428" xfId="14" applyNumberFormat="1" applyFont="1" applyFill="1" applyBorder="1" applyAlignment="1" applyProtection="1">
      <alignment vertical="center" shrinkToFit="1"/>
      <protection locked="0"/>
    </xf>
    <xf numFmtId="3" fontId="18" fillId="24" borderId="427" xfId="14" applyNumberFormat="1" applyFont="1" applyFill="1" applyBorder="1" applyAlignment="1" applyProtection="1">
      <alignment vertical="center" shrinkToFit="1"/>
      <protection locked="0"/>
    </xf>
    <xf numFmtId="3" fontId="18" fillId="24" borderId="429" xfId="14" applyNumberFormat="1" applyFont="1" applyFill="1" applyBorder="1" applyAlignment="1" applyProtection="1">
      <alignment vertical="center" shrinkToFit="1"/>
      <protection locked="0"/>
    </xf>
    <xf numFmtId="0" fontId="18" fillId="24" borderId="426" xfId="14" applyNumberFormat="1" applyFont="1" applyFill="1" applyBorder="1" applyAlignment="1" applyProtection="1">
      <alignment horizontal="center" vertical="center" shrinkToFit="1"/>
      <protection locked="0"/>
    </xf>
    <xf numFmtId="0" fontId="1" fillId="24" borderId="427" xfId="0" applyNumberFormat="1" applyFont="1" applyFill="1" applyBorder="1" applyAlignment="1">
      <alignment horizontal="center" vertical="center" shrinkToFit="1"/>
    </xf>
    <xf numFmtId="241" fontId="18" fillId="25" borderId="428" xfId="14" applyNumberFormat="1" applyFont="1" applyFill="1" applyBorder="1" applyAlignment="1" applyProtection="1">
      <alignment vertical="center" shrinkToFit="1"/>
      <protection locked="0"/>
    </xf>
    <xf numFmtId="3" fontId="18" fillId="25" borderId="428" xfId="14" applyNumberFormat="1" applyFont="1" applyFill="1" applyBorder="1" applyAlignment="1" applyProtection="1">
      <alignment vertical="center" shrinkToFit="1"/>
      <protection locked="0"/>
    </xf>
    <xf numFmtId="3" fontId="18" fillId="25" borderId="427" xfId="14" applyNumberFormat="1" applyFont="1" applyFill="1" applyBorder="1" applyAlignment="1" applyProtection="1">
      <alignment vertical="center" shrinkToFit="1"/>
      <protection locked="0"/>
    </xf>
    <xf numFmtId="3" fontId="18" fillId="25" borderId="429" xfId="14" applyNumberFormat="1" applyFont="1" applyFill="1" applyBorder="1" applyAlignment="1" applyProtection="1">
      <alignment vertical="center" shrinkToFit="1"/>
      <protection locked="0"/>
    </xf>
    <xf numFmtId="0" fontId="18" fillId="25" borderId="426" xfId="14" applyNumberFormat="1" applyFont="1" applyFill="1" applyBorder="1" applyAlignment="1" applyProtection="1">
      <alignment horizontal="center" vertical="center" shrinkToFit="1"/>
      <protection locked="0"/>
    </xf>
    <xf numFmtId="0" fontId="1" fillId="25" borderId="427" xfId="0" applyNumberFormat="1" applyFont="1" applyFill="1" applyBorder="1" applyAlignment="1">
      <alignment horizontal="center" vertical="center" shrinkToFit="1"/>
    </xf>
    <xf numFmtId="241" fontId="18" fillId="26" borderId="428" xfId="14" applyNumberFormat="1" applyFont="1" applyFill="1" applyBorder="1" applyAlignment="1" applyProtection="1">
      <alignment vertical="center" shrinkToFit="1"/>
      <protection locked="0"/>
    </xf>
    <xf numFmtId="3" fontId="18" fillId="26" borderId="428" xfId="14" applyNumberFormat="1" applyFont="1" applyFill="1" applyBorder="1" applyAlignment="1" applyProtection="1">
      <alignment vertical="center" shrinkToFit="1"/>
      <protection locked="0"/>
    </xf>
    <xf numFmtId="3" fontId="18" fillId="26" borderId="427" xfId="14" applyNumberFormat="1" applyFont="1" applyFill="1" applyBorder="1" applyAlignment="1" applyProtection="1">
      <alignment vertical="center" shrinkToFit="1"/>
      <protection locked="0"/>
    </xf>
    <xf numFmtId="3" fontId="18" fillId="26" borderId="429" xfId="14" applyNumberFormat="1" applyFont="1" applyFill="1" applyBorder="1" applyAlignment="1" applyProtection="1">
      <alignment vertical="center" shrinkToFit="1"/>
      <protection locked="0"/>
    </xf>
    <xf numFmtId="0" fontId="18" fillId="26" borderId="426" xfId="14" applyNumberFormat="1" applyFont="1" applyFill="1" applyBorder="1" applyAlignment="1" applyProtection="1">
      <alignment horizontal="center" vertical="center" shrinkToFit="1"/>
      <protection locked="0"/>
    </xf>
    <xf numFmtId="0" fontId="1" fillId="26" borderId="427" xfId="0" applyNumberFormat="1" applyFont="1" applyFill="1" applyBorder="1" applyAlignment="1">
      <alignment horizontal="center" vertical="center" shrinkToFit="1"/>
    </xf>
    <xf numFmtId="0" fontId="18" fillId="24" borderId="430" xfId="14" applyNumberFormat="1" applyFont="1" applyFill="1" applyBorder="1" applyAlignment="1">
      <alignment horizontal="center" vertical="center" shrinkToFit="1"/>
    </xf>
    <xf numFmtId="0" fontId="0" fillId="0" borderId="431" xfId="0" applyBorder="1" applyAlignment="1">
      <alignment horizontal="center" vertical="center" shrinkToFit="1"/>
    </xf>
    <xf numFmtId="0" fontId="0" fillId="0" borderId="432" xfId="0" applyBorder="1" applyAlignment="1">
      <alignment horizontal="center" vertical="center" shrinkToFit="1"/>
    </xf>
    <xf numFmtId="241" fontId="18" fillId="24" borderId="433" xfId="14" applyNumberFormat="1" applyFont="1" applyFill="1" applyBorder="1" applyAlignment="1">
      <alignment vertical="center" shrinkToFit="1"/>
    </xf>
    <xf numFmtId="3" fontId="18" fillId="24" borderId="433" xfId="14" applyNumberFormat="1" applyFont="1" applyFill="1" applyBorder="1" applyAlignment="1">
      <alignment vertical="center" shrinkToFit="1"/>
    </xf>
    <xf numFmtId="3" fontId="18" fillId="24" borderId="434" xfId="14" applyNumberFormat="1" applyFont="1" applyFill="1" applyBorder="1" applyAlignment="1">
      <alignment vertical="center" shrinkToFit="1"/>
    </xf>
    <xf numFmtId="3" fontId="52" fillId="24" borderId="434" xfId="14" applyNumberFormat="1" applyFont="1" applyFill="1" applyBorder="1" applyAlignment="1">
      <alignment vertical="center" shrinkToFit="1"/>
    </xf>
    <xf numFmtId="3" fontId="18" fillId="24" borderId="435" xfId="14" applyNumberFormat="1" applyFont="1" applyFill="1" applyBorder="1" applyAlignment="1">
      <alignment vertical="center" shrinkToFit="1"/>
    </xf>
    <xf numFmtId="0" fontId="18" fillId="23" borderId="430" xfId="14" applyNumberFormat="1" applyFont="1" applyFill="1" applyBorder="1" applyAlignment="1">
      <alignment horizontal="center" vertical="center" shrinkToFit="1"/>
    </xf>
    <xf numFmtId="241" fontId="18" fillId="23" borderId="433" xfId="14" applyNumberFormat="1" applyFont="1" applyFill="1" applyBorder="1" applyAlignment="1">
      <alignment vertical="center" shrinkToFit="1"/>
    </xf>
    <xf numFmtId="3" fontId="18" fillId="23" borderId="433" xfId="14" applyNumberFormat="1" applyFont="1" applyFill="1" applyBorder="1" applyAlignment="1">
      <alignment vertical="center" shrinkToFit="1"/>
    </xf>
    <xf numFmtId="3" fontId="18" fillId="23" borderId="434" xfId="14" applyNumberFormat="1" applyFont="1" applyFill="1" applyBorder="1" applyAlignment="1">
      <alignment vertical="center" shrinkToFit="1"/>
    </xf>
    <xf numFmtId="3" fontId="52" fillId="23" borderId="434" xfId="14" applyNumberFormat="1" applyFont="1" applyFill="1" applyBorder="1" applyAlignment="1">
      <alignment vertical="center" shrinkToFit="1"/>
    </xf>
    <xf numFmtId="3" fontId="18" fillId="23" borderId="435" xfId="14" applyNumberFormat="1" applyFont="1" applyFill="1" applyBorder="1" applyAlignment="1">
      <alignment vertical="center" shrinkToFit="1"/>
    </xf>
    <xf numFmtId="0" fontId="18" fillId="23" borderId="414" xfId="14" applyNumberFormat="1" applyFont="1" applyFill="1" applyBorder="1" applyAlignment="1">
      <alignment horizontal="center" vertical="center" shrinkToFit="1"/>
    </xf>
    <xf numFmtId="0" fontId="0" fillId="0" borderId="439" xfId="0" applyBorder="1" applyAlignment="1">
      <alignment horizontal="center" vertical="center" shrinkToFit="1"/>
    </xf>
    <xf numFmtId="241" fontId="18" fillId="23" borderId="436" xfId="14" applyNumberFormat="1" applyFont="1" applyFill="1" applyBorder="1" applyAlignment="1">
      <alignment vertical="center" shrinkToFit="1"/>
    </xf>
    <xf numFmtId="3" fontId="18" fillId="23" borderId="436" xfId="14" applyNumberFormat="1" applyFont="1" applyFill="1" applyBorder="1" applyAlignment="1">
      <alignment vertical="center" shrinkToFit="1"/>
    </xf>
    <xf numFmtId="3" fontId="18" fillId="23" borderId="437" xfId="14" applyNumberFormat="1" applyFont="1" applyFill="1" applyBorder="1" applyAlignment="1">
      <alignment vertical="center" shrinkToFit="1"/>
    </xf>
    <xf numFmtId="3" fontId="18" fillId="23" borderId="438" xfId="14" applyNumberFormat="1" applyFont="1" applyFill="1" applyBorder="1" applyAlignment="1">
      <alignment vertical="center" shrinkToFit="1"/>
    </xf>
    <xf numFmtId="3" fontId="52" fillId="23" borderId="437" xfId="14" applyNumberFormat="1" applyFont="1" applyFill="1" applyBorder="1" applyAlignment="1">
      <alignment vertical="center" shrinkToFit="1"/>
    </xf>
    <xf numFmtId="0" fontId="18" fillId="0" borderId="416" xfId="14" applyNumberFormat="1" applyFont="1" applyBorder="1" applyAlignment="1" applyProtection="1">
      <alignment horizontal="left" vertical="center" indent="1" shrinkToFit="1"/>
      <protection locked="0"/>
    </xf>
    <xf numFmtId="0" fontId="0" fillId="0" borderId="417" xfId="0" applyBorder="1" applyAlignment="1">
      <alignment horizontal="left" vertical="center" indent="1" shrinkToFit="1"/>
    </xf>
    <xf numFmtId="0" fontId="0" fillId="0" borderId="440" xfId="0" applyBorder="1" applyAlignment="1">
      <alignment horizontal="left" vertical="center" indent="1" shrinkToFit="1"/>
    </xf>
    <xf numFmtId="241" fontId="18" fillId="0" borderId="441" xfId="14" applyNumberFormat="1" applyFont="1" applyBorder="1" applyAlignment="1" applyProtection="1">
      <alignment vertical="center" shrinkToFit="1"/>
      <protection locked="0"/>
    </xf>
    <xf numFmtId="3" fontId="18" fillId="0" borderId="442" xfId="14" applyNumberFormat="1" applyFont="1" applyBorder="1" applyAlignment="1" applyProtection="1">
      <alignment vertical="center" shrinkToFit="1"/>
      <protection locked="0"/>
    </xf>
    <xf numFmtId="3" fontId="18" fillId="0" borderId="441" xfId="14" applyNumberFormat="1" applyFont="1" applyBorder="1" applyAlignment="1" applyProtection="1">
      <alignment vertical="center" shrinkToFit="1"/>
      <protection locked="0"/>
    </xf>
    <xf numFmtId="3" fontId="18" fillId="0" borderId="440" xfId="14" applyNumberFormat="1" applyFont="1" applyBorder="1" applyAlignment="1" applyProtection="1">
      <alignment vertical="center" shrinkToFit="1"/>
      <protection locked="0"/>
    </xf>
    <xf numFmtId="3" fontId="18" fillId="0" borderId="418" xfId="14" applyNumberFormat="1" applyFont="1" applyBorder="1" applyAlignment="1" applyProtection="1">
      <alignment vertical="center" shrinkToFit="1"/>
      <protection locked="0"/>
    </xf>
    <xf numFmtId="0" fontId="5" fillId="0" borderId="273" xfId="14" applyNumberFormat="1" applyFont="1" applyBorder="1" applyAlignment="1" applyProtection="1">
      <alignment horizontal="center" vertical="center" shrinkToFit="1"/>
      <protection locked="0"/>
    </xf>
    <xf numFmtId="0" fontId="5" fillId="0" borderId="443" xfId="14" applyNumberFormat="1" applyFont="1" applyBorder="1" applyAlignment="1" applyProtection="1">
      <alignment horizontal="center" vertical="center" shrinkToFit="1"/>
      <protection locked="0"/>
    </xf>
    <xf numFmtId="0" fontId="5" fillId="0" borderId="443" xfId="14" applyNumberFormat="1" applyFont="1" applyBorder="1" applyAlignment="1" applyProtection="1">
      <alignment horizontal="left" vertical="center" shrinkToFit="1"/>
      <protection locked="0"/>
    </xf>
    <xf numFmtId="0" fontId="0" fillId="0" borderId="444" xfId="0" applyBorder="1" applyAlignment="1">
      <alignment horizontal="left" vertical="center" shrinkToFit="1"/>
    </xf>
    <xf numFmtId="3" fontId="5" fillId="0" borderId="443" xfId="14" applyNumberFormat="1" applyFont="1" applyBorder="1" applyAlignment="1" applyProtection="1">
      <alignment vertical="center" shrinkToFit="1"/>
      <protection locked="0"/>
    </xf>
    <xf numFmtId="3" fontId="5" fillId="0" borderId="445" xfId="14" applyNumberFormat="1" applyFont="1" applyBorder="1" applyAlignment="1" applyProtection="1">
      <alignment vertical="center" shrinkToFit="1"/>
      <protection locked="0"/>
    </xf>
    <xf numFmtId="3" fontId="5" fillId="0" borderId="446" xfId="14" applyNumberFormat="1" applyFont="1" applyBorder="1" applyAlignment="1" applyProtection="1">
      <alignment vertical="center" shrinkToFit="1"/>
      <protection locked="0"/>
    </xf>
    <xf numFmtId="183" fontId="5" fillId="17" borderId="206" xfId="14" applyNumberFormat="1" applyFont="1" applyFill="1" applyBorder="1" applyAlignment="1" applyProtection="1">
      <alignment horizontal="center" vertical="center" shrinkToFit="1"/>
      <protection locked="0"/>
    </xf>
    <xf numFmtId="183" fontId="5" fillId="16" borderId="255" xfId="14" applyNumberFormat="1" applyFont="1" applyFill="1" applyBorder="1" applyAlignment="1" applyProtection="1">
      <alignment horizontal="center" vertical="center" shrinkToFit="1"/>
      <protection locked="0"/>
    </xf>
    <xf numFmtId="0" fontId="5" fillId="3" borderId="35" xfId="14" applyNumberFormat="1" applyFont="1" applyFill="1" applyBorder="1" applyAlignment="1" applyProtection="1">
      <alignment horizontal="center" vertical="center"/>
      <protection locked="0"/>
    </xf>
    <xf numFmtId="242" fontId="2" fillId="2" borderId="3" xfId="14" applyNumberFormat="1" applyFont="1" applyFill="1" applyBorder="1" applyAlignment="1" applyProtection="1">
      <alignment horizontal="left"/>
      <protection locked="0"/>
    </xf>
    <xf numFmtId="0" fontId="2" fillId="2" borderId="3" xfId="14" applyFont="1" applyFill="1" applyBorder="1" applyProtection="1">
      <protection locked="0"/>
    </xf>
    <xf numFmtId="0" fontId="5" fillId="3" borderId="38" xfId="14" applyNumberFormat="1" applyFont="1" applyFill="1" applyBorder="1" applyAlignment="1" applyProtection="1">
      <alignment horizontal="center" vertical="center"/>
      <protection locked="0"/>
    </xf>
    <xf numFmtId="0" fontId="5" fillId="0" borderId="447" xfId="14" applyNumberFormat="1" applyFont="1" applyBorder="1" applyAlignment="1" applyProtection="1">
      <alignment horizontal="center" vertical="center" shrinkToFit="1"/>
      <protection locked="0"/>
    </xf>
    <xf numFmtId="0" fontId="5" fillId="0" borderId="40" xfId="14" applyNumberFormat="1" applyFont="1" applyBorder="1" applyAlignment="1" applyProtection="1">
      <alignment horizontal="center" shrinkToFit="1"/>
      <protection locked="0"/>
    </xf>
    <xf numFmtId="0" fontId="5" fillId="0" borderId="448" xfId="14" applyNumberFormat="1" applyFont="1" applyBorder="1" applyAlignment="1" applyProtection="1">
      <alignment horizontal="left" shrinkToFit="1"/>
      <protection locked="0"/>
    </xf>
    <xf numFmtId="0" fontId="0" fillId="0" borderId="216" xfId="0" applyBorder="1" applyAlignment="1">
      <alignment horizontal="left" shrinkToFit="1"/>
    </xf>
    <xf numFmtId="3" fontId="18" fillId="23" borderId="435" xfId="14" applyNumberFormat="1" applyFont="1" applyFill="1" applyBorder="1" applyAlignment="1">
      <alignment vertical="center"/>
    </xf>
    <xf numFmtId="239" fontId="5" fillId="0" borderId="149" xfId="14" applyNumberFormat="1" applyFont="1" applyBorder="1" applyAlignment="1" applyProtection="1">
      <alignment shrinkToFit="1"/>
      <protection locked="0"/>
    </xf>
    <xf numFmtId="239" fontId="5" fillId="0" borderId="128" xfId="14" applyNumberFormat="1" applyFont="1" applyBorder="1" applyAlignment="1" applyProtection="1">
      <alignment shrinkToFit="1"/>
      <protection locked="0"/>
    </xf>
    <xf numFmtId="0" fontId="5" fillId="0" borderId="128" xfId="14" applyNumberFormat="1" applyFont="1" applyBorder="1" applyAlignment="1" applyProtection="1">
      <alignment shrinkToFit="1"/>
      <protection locked="0"/>
    </xf>
    <xf numFmtId="239" fontId="5" fillId="0" borderId="192" xfId="14" applyNumberFormat="1" applyFont="1" applyBorder="1" applyAlignment="1" applyProtection="1">
      <alignment horizontal="center" shrinkToFit="1"/>
      <protection locked="0"/>
    </xf>
    <xf numFmtId="0" fontId="5" fillId="3" borderId="206" xfId="14" applyNumberFormat="1" applyFont="1" applyFill="1" applyBorder="1" applyAlignment="1" applyProtection="1">
      <alignment horizontal="center" vertical="center" wrapText="1"/>
      <protection locked="0"/>
    </xf>
    <xf numFmtId="0" fontId="5" fillId="3" borderId="40" xfId="14" applyFont="1" applyFill="1" applyBorder="1" applyAlignment="1" applyProtection="1">
      <alignment horizontal="center" vertical="center" wrapText="1" shrinkToFit="1"/>
      <protection locked="0"/>
    </xf>
    <xf numFmtId="0" fontId="5" fillId="3" borderId="40" xfId="14" applyFont="1" applyFill="1" applyBorder="1" applyAlignment="1" applyProtection="1">
      <alignment horizontal="center" vertical="center" wrapText="1" shrinkToFit="1"/>
      <protection locked="0"/>
    </xf>
    <xf numFmtId="0" fontId="5" fillId="17" borderId="202" xfId="14" applyNumberFormat="1" applyFont="1" applyFill="1" applyBorder="1" applyAlignment="1" applyProtection="1">
      <alignment horizontal="center" vertical="center"/>
      <protection locked="0"/>
    </xf>
    <xf numFmtId="0" fontId="5" fillId="17" borderId="79" xfId="14" applyNumberFormat="1" applyFont="1" applyFill="1" applyBorder="1" applyAlignment="1" applyProtection="1">
      <alignment horizontal="center" vertical="center"/>
      <protection locked="0"/>
    </xf>
    <xf numFmtId="0" fontId="5" fillId="17" borderId="363" xfId="14" applyNumberFormat="1" applyFont="1" applyFill="1" applyBorder="1" applyAlignment="1" applyProtection="1">
      <alignment horizontal="center" vertical="center"/>
      <protection locked="0"/>
    </xf>
    <xf numFmtId="0" fontId="5" fillId="16" borderId="202" xfId="14" applyNumberFormat="1" applyFont="1" applyFill="1" applyBorder="1" applyAlignment="1" applyProtection="1">
      <alignment horizontal="center" vertical="center"/>
      <protection locked="0"/>
    </xf>
    <xf numFmtId="0" fontId="5" fillId="16" borderId="79" xfId="14" applyNumberFormat="1" applyFont="1" applyFill="1" applyBorder="1" applyAlignment="1" applyProtection="1">
      <alignment horizontal="center" vertical="center"/>
      <protection locked="0"/>
    </xf>
    <xf numFmtId="0" fontId="5" fillId="16" borderId="363" xfId="14" applyNumberFormat="1" applyFont="1" applyFill="1" applyBorder="1" applyAlignment="1" applyProtection="1">
      <alignment horizontal="center" vertical="center"/>
      <protection locked="0"/>
    </xf>
    <xf numFmtId="0" fontId="5" fillId="3" borderId="216" xfId="14" applyFont="1" applyFill="1" applyBorder="1" applyAlignment="1" applyProtection="1">
      <alignment horizontal="center" vertical="center" wrapText="1" shrinkToFit="1"/>
      <protection locked="0"/>
    </xf>
    <xf numFmtId="0" fontId="5" fillId="3" borderId="380" xfId="14" applyFont="1" applyFill="1" applyBorder="1" applyAlignment="1" applyProtection="1">
      <alignment horizontal="center" vertical="center" wrapText="1" shrinkToFit="1"/>
      <protection locked="0"/>
    </xf>
    <xf numFmtId="0" fontId="5" fillId="3" borderId="218" xfId="14" applyFont="1" applyFill="1" applyBorder="1" applyAlignment="1" applyProtection="1">
      <alignment horizontal="center" vertical="center" wrapText="1" shrinkToFit="1"/>
      <protection locked="0"/>
    </xf>
    <xf numFmtId="0" fontId="5" fillId="3" borderId="25" xfId="14" applyFont="1" applyFill="1" applyBorder="1" applyAlignment="1" applyProtection="1">
      <alignment horizontal="center" vertical="center" wrapText="1" shrinkToFit="1"/>
      <protection locked="0"/>
    </xf>
    <xf numFmtId="0" fontId="54" fillId="0" borderId="0" xfId="13" applyFont="1">
      <alignment vertical="center"/>
    </xf>
    <xf numFmtId="0" fontId="55" fillId="2" borderId="4" xfId="14" applyFont="1" applyFill="1" applyBorder="1"/>
    <xf numFmtId="242" fontId="55" fillId="2" borderId="3" xfId="14" applyNumberFormat="1" applyFont="1" applyFill="1" applyBorder="1" applyAlignment="1" applyProtection="1">
      <alignment horizontal="left"/>
      <protection locked="0"/>
    </xf>
    <xf numFmtId="0" fontId="55" fillId="2" borderId="3" xfId="14" applyFont="1" applyFill="1" applyBorder="1" applyProtection="1">
      <protection locked="0"/>
    </xf>
    <xf numFmtId="193" fontId="56" fillId="2" borderId="3" xfId="14" applyNumberFormat="1" applyFont="1" applyFill="1" applyBorder="1" applyProtection="1">
      <protection locked="0"/>
    </xf>
    <xf numFmtId="193" fontId="55" fillId="2" borderId="3" xfId="14" applyNumberFormat="1" applyFont="1" applyFill="1" applyBorder="1" applyProtection="1">
      <protection locked="0"/>
    </xf>
    <xf numFmtId="0" fontId="56" fillId="2" borderId="2" xfId="14" applyNumberFormat="1" applyFont="1" applyFill="1" applyBorder="1" applyAlignment="1" applyProtection="1">
      <alignment horizontal="left" vertical="center" indent="1"/>
      <protection locked="0"/>
    </xf>
    <xf numFmtId="0" fontId="5" fillId="3" borderId="255" xfId="14" applyFont="1" applyFill="1" applyBorder="1" applyAlignment="1" applyProtection="1">
      <alignment horizontal="center" vertical="center" wrapText="1" shrinkToFit="1"/>
      <protection locked="0"/>
    </xf>
    <xf numFmtId="239" fontId="18" fillId="0" borderId="411" xfId="14" applyNumberFormat="1" applyFont="1" applyBorder="1" applyAlignment="1" applyProtection="1">
      <alignment horizontal="center" vertical="center" shrinkToFit="1"/>
      <protection locked="0"/>
    </xf>
    <xf numFmtId="0" fontId="18" fillId="0" borderId="410" xfId="14" applyNumberFormat="1" applyFont="1" applyBorder="1" applyAlignment="1" applyProtection="1">
      <alignment vertical="center" shrinkToFit="1"/>
      <protection locked="0"/>
    </xf>
    <xf numFmtId="239" fontId="18" fillId="0" borderId="410" xfId="14" applyNumberFormat="1" applyFont="1" applyBorder="1" applyAlignment="1" applyProtection="1">
      <alignment vertical="center" shrinkToFit="1"/>
      <protection locked="0"/>
    </xf>
    <xf numFmtId="239" fontId="18" fillId="0" borderId="412" xfId="14" applyNumberFormat="1" applyFont="1" applyBorder="1" applyAlignment="1" applyProtection="1">
      <alignment vertical="center" shrinkToFit="1"/>
      <protection locked="0"/>
    </xf>
    <xf numFmtId="228" fontId="18" fillId="0" borderId="413" xfId="14" applyNumberFormat="1" applyFont="1" applyBorder="1" applyAlignment="1" applyProtection="1">
      <alignment vertical="center" shrinkToFit="1"/>
      <protection locked="0"/>
    </xf>
    <xf numFmtId="239" fontId="5" fillId="0" borderId="255" xfId="14" applyNumberFormat="1" applyFont="1" applyBorder="1" applyAlignment="1" applyProtection="1">
      <alignment horizontal="center" shrinkToFit="1"/>
      <protection locked="0"/>
    </xf>
    <xf numFmtId="0" fontId="5" fillId="0" borderId="40" xfId="14" applyNumberFormat="1" applyFont="1" applyBorder="1" applyAlignment="1" applyProtection="1">
      <alignment shrinkToFit="1"/>
      <protection locked="0"/>
    </xf>
    <xf numFmtId="239" fontId="5" fillId="0" borderId="40" xfId="14" applyNumberFormat="1" applyFont="1" applyBorder="1" applyAlignment="1" applyProtection="1">
      <alignment shrinkToFit="1"/>
      <protection locked="0"/>
    </xf>
    <xf numFmtId="239" fontId="5" fillId="0" borderId="206" xfId="14" applyNumberFormat="1" applyFont="1" applyBorder="1" applyAlignment="1" applyProtection="1">
      <alignment shrinkToFit="1"/>
      <protection locked="0"/>
    </xf>
    <xf numFmtId="239" fontId="18" fillId="0" borderId="403" xfId="14" applyNumberFormat="1" applyFont="1" applyBorder="1" applyAlignment="1" applyProtection="1">
      <alignment horizontal="center" vertical="center" shrinkToFit="1"/>
      <protection locked="0"/>
    </xf>
    <xf numFmtId="239" fontId="18" fillId="0" borderId="403" xfId="14" applyNumberFormat="1" applyFont="1" applyBorder="1" applyAlignment="1" applyProtection="1">
      <alignment vertical="center" shrinkToFit="1"/>
      <protection locked="0"/>
    </xf>
    <xf numFmtId="239" fontId="18" fillId="0" borderId="402" xfId="14" applyNumberFormat="1" applyFont="1" applyBorder="1" applyAlignment="1" applyProtection="1">
      <alignment vertical="center" shrinkToFit="1"/>
      <protection locked="0"/>
    </xf>
    <xf numFmtId="228" fontId="18" fillId="0" borderId="404" xfId="14" applyNumberFormat="1" applyFont="1" applyBorder="1" applyAlignment="1" applyProtection="1">
      <alignment vertical="center" shrinkToFit="1"/>
      <protection locked="0"/>
    </xf>
    <xf numFmtId="239" fontId="18" fillId="23" borderId="433" xfId="14" applyNumberFormat="1" applyFont="1" applyFill="1" applyBorder="1" applyAlignment="1">
      <alignment vertical="center" shrinkToFit="1"/>
    </xf>
    <xf numFmtId="0" fontId="18" fillId="23" borderId="434" xfId="14" applyNumberFormat="1" applyFont="1" applyFill="1" applyBorder="1" applyAlignment="1">
      <alignment vertical="center" shrinkToFit="1"/>
    </xf>
    <xf numFmtId="239" fontId="52" fillId="23" borderId="433" xfId="14" applyNumberFormat="1" applyFont="1" applyFill="1" applyBorder="1" applyAlignment="1">
      <alignment vertical="center" shrinkToFit="1"/>
    </xf>
    <xf numFmtId="239" fontId="52" fillId="23" borderId="434" xfId="14" applyNumberFormat="1" applyFont="1" applyFill="1" applyBorder="1" applyAlignment="1">
      <alignment vertical="center" shrinkToFit="1"/>
    </xf>
    <xf numFmtId="239" fontId="18" fillId="23" borderId="434" xfId="14" applyNumberFormat="1" applyFont="1" applyFill="1" applyBorder="1" applyAlignment="1">
      <alignment vertical="center" shrinkToFit="1"/>
    </xf>
    <xf numFmtId="228" fontId="18" fillId="23" borderId="435" xfId="14" applyNumberFormat="1" applyFont="1" applyFill="1" applyBorder="1" applyAlignment="1">
      <alignment vertical="center" shrinkToFit="1"/>
    </xf>
    <xf numFmtId="239" fontId="18" fillId="23" borderId="436" xfId="14" applyNumberFormat="1" applyFont="1" applyFill="1" applyBorder="1" applyAlignment="1">
      <alignment vertical="center" shrinkToFit="1"/>
    </xf>
    <xf numFmtId="0" fontId="18" fillId="23" borderId="437" xfId="14" applyNumberFormat="1" applyFont="1" applyFill="1" applyBorder="1" applyAlignment="1">
      <alignment vertical="center" shrinkToFit="1"/>
    </xf>
    <xf numFmtId="239" fontId="18" fillId="23" borderId="437" xfId="14" applyNumberFormat="1" applyFont="1" applyFill="1" applyBorder="1" applyAlignment="1">
      <alignment vertical="center" shrinkToFit="1"/>
    </xf>
    <xf numFmtId="228" fontId="18" fillId="23" borderId="438" xfId="14" applyNumberFormat="1" applyFont="1" applyFill="1" applyBorder="1" applyAlignment="1">
      <alignment vertical="center" shrinkToFit="1"/>
    </xf>
    <xf numFmtId="3" fontId="52" fillId="23" borderId="436" xfId="14" applyNumberFormat="1" applyFont="1" applyFill="1" applyBorder="1" applyAlignment="1">
      <alignment vertical="center" shrinkToFit="1"/>
    </xf>
    <xf numFmtId="0" fontId="57" fillId="0" borderId="0" xfId="18" applyFont="1" applyProtection="1">
      <protection locked="0"/>
    </xf>
    <xf numFmtId="0" fontId="57" fillId="0" borderId="0" xfId="18" applyFont="1" applyAlignment="1" applyProtection="1">
      <alignment horizontal="center"/>
      <protection locked="0"/>
    </xf>
    <xf numFmtId="0" fontId="57" fillId="0" borderId="0" xfId="18" applyFont="1" applyBorder="1" applyProtection="1">
      <protection locked="0"/>
    </xf>
    <xf numFmtId="0" fontId="57" fillId="0" borderId="0" xfId="18" applyFont="1" applyBorder="1" applyAlignment="1" applyProtection="1">
      <alignment horizontal="center"/>
      <protection locked="0"/>
    </xf>
    <xf numFmtId="0" fontId="57" fillId="0" borderId="0" xfId="18" applyFont="1" applyAlignment="1" applyProtection="1">
      <alignment horizontal="center"/>
      <protection locked="0"/>
    </xf>
    <xf numFmtId="0" fontId="58" fillId="0" borderId="0" xfId="18" applyFont="1" applyAlignment="1" applyProtection="1">
      <alignment horizontal="center"/>
      <protection locked="0"/>
    </xf>
    <xf numFmtId="0" fontId="33" fillId="0" borderId="0" xfId="18" applyFont="1" applyAlignment="1" applyProtection="1">
      <alignment horizontal="center" shrinkToFit="1"/>
      <protection locked="0"/>
    </xf>
    <xf numFmtId="176" fontId="5" fillId="0" borderId="0" xfId="18" applyNumberFormat="1" applyFont="1" applyProtection="1"/>
    <xf numFmtId="0" fontId="5" fillId="0" borderId="0" xfId="18" applyFont="1" applyProtection="1">
      <protection locked="0"/>
    </xf>
    <xf numFmtId="55" fontId="58" fillId="0" borderId="0" xfId="18" applyNumberFormat="1" applyFont="1" applyAlignment="1" applyProtection="1">
      <alignment horizontal="center"/>
      <protection locked="0"/>
    </xf>
  </cellXfs>
  <cellStyles count="19">
    <cellStyle name="桁区切り 2" xfId="12"/>
    <cellStyle name="標準" xfId="0" builtinId="0"/>
    <cellStyle name="標準 2 2" xfId="3"/>
    <cellStyle name="標準 9 2 2" xfId="13"/>
    <cellStyle name="標準_A4横表紙_1" xfId="18"/>
    <cellStyle name="標準_Book2" xfId="4"/>
    <cellStyle name="標準_K値テーブル" xfId="8"/>
    <cellStyle name="標準_ｴｱﾊﾝ" xfId="14"/>
    <cellStyle name="標準_外部遮蔽_1" xfId="9"/>
    <cellStyle name="標準_空気線図" xfId="16"/>
    <cellStyle name="標準_空気線図_1" xfId="17"/>
    <cellStyle name="標準_空気線図リンクサンプル" xfId="15"/>
    <cellStyle name="標準_熱通過率" xfId="10"/>
    <cellStyle name="標準_熱負荷_1" xfId="1"/>
    <cellStyle name="標準_熱負荷計算書" xfId="2"/>
    <cellStyle name="標準_負荷計算" xfId="11"/>
    <cellStyle name="標準_負荷計算2000_1" xfId="5"/>
    <cellStyle name="標準_負荷計算2000_K値テーブル" xfId="7"/>
    <cellStyle name="標準_負荷計算基礎デー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969-4762-BEA3-9E3C552460D5}"/>
            </c:ext>
          </c:extLst>
        </c:ser>
        <c:ser>
          <c:idx val="1"/>
          <c:order val="1"/>
          <c:tx>
            <c:v>比エンタルピ座標軸</c:v>
          </c:tx>
          <c:spPr>
            <a:ln w="3175">
              <a:solidFill>
                <a:srgbClr val="000000"/>
              </a:solidFill>
              <a:prstDash val="solid"/>
            </a:ln>
          </c:spPr>
          <c:marker>
            <c:symbol val="none"/>
          </c:marker>
          <c:xVal>
            <c:numLit>
              <c:formatCode>General</c:formatCode>
              <c:ptCount val="2"/>
              <c:pt idx="0">
                <c:v>-10.225681724151015</c:v>
              </c:pt>
              <c:pt idx="1">
                <c:v>29</c:v>
              </c:pt>
            </c:numLit>
          </c:xVal>
          <c:yVal>
            <c:numLit>
              <c:formatCode>General</c:formatCode>
              <c:ptCount val="2"/>
              <c:pt idx="0">
                <c:v>2.4560824455002899E-3</c:v>
              </c:pt>
              <c:pt idx="1">
                <c:v>3.4000000000000002E-2</c:v>
              </c:pt>
            </c:numLit>
          </c:yVal>
          <c:smooth val="0"/>
          <c:extLst>
            <c:ext xmlns:c16="http://schemas.microsoft.com/office/drawing/2014/chart" uri="{C3380CC4-5D6E-409C-BE32-E72D297353CC}">
              <c16:uniqueId val="{00000001-2969-4762-BEA3-9E3C552460D5}"/>
            </c:ext>
          </c:extLst>
        </c:ser>
        <c:ser>
          <c:idx val="2"/>
          <c:order val="2"/>
          <c:tx>
            <c:v>比エンタルピ座標軸ラベル</c:v>
          </c:tx>
          <c:spPr>
            <a:ln w="3175">
              <a:solidFill>
                <a:srgbClr val="000000"/>
              </a:solidFill>
              <a:prstDash val="solid"/>
            </a:ln>
          </c:spPr>
          <c:marker>
            <c:symbol val="none"/>
          </c:marker>
          <c:dLbls>
            <c:dLbl>
              <c:idx val="0"/>
              <c:layout>
                <c:manualLayout>
                  <c:x val="-8.3517880577427817E-2"/>
                  <c:y val="0"/>
                </c:manualLayout>
              </c:layout>
              <c:tx>
                <c:rich>
                  <a:bodyPr rot="-32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比エンタルピ </a:t>
                    </a:r>
                    <a:r>
                      <a:rPr lang="en-US"/>
                      <a:t>h [kJ/kg(DA)]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13.309727310339595</c:v>
              </c:pt>
            </c:numLit>
          </c:xVal>
          <c:yVal>
            <c:numLit>
              <c:formatCode>General</c:formatCode>
              <c:ptCount val="1"/>
              <c:pt idx="0">
                <c:v>2.1382432978200118E-2</c:v>
              </c:pt>
            </c:numLit>
          </c:yVal>
          <c:smooth val="0"/>
          <c:extLst>
            <c:ext xmlns:c16="http://schemas.microsoft.com/office/drawing/2014/chart" uri="{C3380CC4-5D6E-409C-BE32-E72D297353CC}">
              <c16:uniqueId val="{00000003-2969-4762-BEA3-9E3C552460D5}"/>
            </c:ext>
          </c:extLst>
        </c:ser>
        <c:ser>
          <c:idx val="3"/>
          <c:order val="3"/>
          <c:tx>
            <c:v>h=-9</c:v>
          </c:tx>
          <c:spPr>
            <a:ln w="3175">
              <a:solidFill>
                <a:srgbClr val="808080"/>
              </a:solidFill>
              <a:prstDash val="solid"/>
            </a:ln>
          </c:spPr>
          <c:marker>
            <c:symbol val="none"/>
          </c:marker>
          <c:xVal>
            <c:numLit>
              <c:formatCode>General</c:formatCode>
              <c:ptCount val="2"/>
              <c:pt idx="0">
                <c:v>-11.880765601687139</c:v>
              </c:pt>
              <c:pt idx="1">
                <c:v>-11.580765601687139</c:v>
              </c:pt>
            </c:numLit>
          </c:xVal>
          <c:yVal>
            <c:numLit>
              <c:formatCode>General</c:formatCode>
              <c:ptCount val="2"/>
              <c:pt idx="0">
                <c:v>1.1251220368087263E-3</c:v>
              </c:pt>
              <c:pt idx="1">
                <c:v>1.0079529721528108E-3</c:v>
              </c:pt>
            </c:numLit>
          </c:yVal>
          <c:smooth val="0"/>
          <c:extLst>
            <c:ext xmlns:c16="http://schemas.microsoft.com/office/drawing/2014/chart" uri="{C3380CC4-5D6E-409C-BE32-E72D297353CC}">
              <c16:uniqueId val="{00000004-2969-4762-BEA3-9E3C552460D5}"/>
            </c:ext>
          </c:extLst>
        </c:ser>
        <c:ser>
          <c:idx val="4"/>
          <c:order val="4"/>
          <c:tx>
            <c:v>h=-8</c:v>
          </c:tx>
          <c:spPr>
            <a:ln w="3175">
              <a:solidFill>
                <a:srgbClr val="808080"/>
              </a:solidFill>
              <a:prstDash val="solid"/>
            </a:ln>
          </c:spPr>
          <c:marker>
            <c:symbol val="none"/>
          </c:marker>
          <c:xVal>
            <c:numLit>
              <c:formatCode>General</c:formatCode>
              <c:ptCount val="2"/>
              <c:pt idx="0">
                <c:v>-11.559834724870734</c:v>
              </c:pt>
              <c:pt idx="1">
                <c:v>-11.259834724870734</c:v>
              </c:pt>
            </c:numLit>
          </c:xVal>
          <c:yVal>
            <c:numLit>
              <c:formatCode>General</c:formatCode>
              <c:ptCount val="2"/>
              <c:pt idx="0">
                <c:v>1.3832033925435098E-3</c:v>
              </c:pt>
              <c:pt idx="1">
                <c:v>1.266635897186511E-3</c:v>
              </c:pt>
            </c:numLit>
          </c:yVal>
          <c:smooth val="0"/>
          <c:extLst>
            <c:ext xmlns:c16="http://schemas.microsoft.com/office/drawing/2014/chart" uri="{C3380CC4-5D6E-409C-BE32-E72D297353CC}">
              <c16:uniqueId val="{00000005-2969-4762-BEA3-9E3C552460D5}"/>
            </c:ext>
          </c:extLst>
        </c:ser>
        <c:ser>
          <c:idx val="5"/>
          <c:order val="5"/>
          <c:tx>
            <c:v>h=-7</c:v>
          </c:tx>
          <c:spPr>
            <a:ln w="3175">
              <a:solidFill>
                <a:srgbClr val="808080"/>
              </a:solidFill>
              <a:prstDash val="solid"/>
            </a:ln>
          </c:spPr>
          <c:marker>
            <c:symbol val="none"/>
          </c:marker>
          <c:xVal>
            <c:numLit>
              <c:formatCode>General</c:formatCode>
              <c:ptCount val="2"/>
              <c:pt idx="0">
                <c:v>-11.238903848054328</c:v>
              </c:pt>
              <c:pt idx="1">
                <c:v>-10.938903848054327</c:v>
              </c:pt>
            </c:numLit>
          </c:xVal>
          <c:yVal>
            <c:numLit>
              <c:formatCode>General</c:formatCode>
              <c:ptCount val="2"/>
              <c:pt idx="0">
                <c:v>1.6412847482782933E-3</c:v>
              </c:pt>
              <c:pt idx="1">
                <c:v>1.5251260803458998E-3</c:v>
              </c:pt>
            </c:numLit>
          </c:yVal>
          <c:smooth val="0"/>
          <c:extLst>
            <c:ext xmlns:c16="http://schemas.microsoft.com/office/drawing/2014/chart" uri="{C3380CC4-5D6E-409C-BE32-E72D297353CC}">
              <c16:uniqueId val="{00000006-2969-4762-BEA3-9E3C552460D5}"/>
            </c:ext>
          </c:extLst>
        </c:ser>
        <c:ser>
          <c:idx val="6"/>
          <c:order val="6"/>
          <c:tx>
            <c:v>h=-6</c:v>
          </c:tx>
          <c:spPr>
            <a:ln w="3175">
              <a:solidFill>
                <a:srgbClr val="808080"/>
              </a:solidFill>
              <a:prstDash val="solid"/>
            </a:ln>
          </c:spPr>
          <c:marker>
            <c:symbol val="none"/>
          </c:marker>
          <c:xVal>
            <c:numLit>
              <c:formatCode>General</c:formatCode>
              <c:ptCount val="2"/>
              <c:pt idx="0">
                <c:v>-10.917972971237921</c:v>
              </c:pt>
              <c:pt idx="1">
                <c:v>-10.617972971237922</c:v>
              </c:pt>
            </c:numLit>
          </c:xVal>
          <c:yVal>
            <c:numLit>
              <c:formatCode>General</c:formatCode>
              <c:ptCount val="2"/>
              <c:pt idx="0">
                <c:v>1.8993661040130768E-3</c:v>
              </c:pt>
              <c:pt idx="1">
                <c:v>1.7835033624859524E-3</c:v>
              </c:pt>
            </c:numLit>
          </c:yVal>
          <c:smooth val="0"/>
          <c:extLst>
            <c:ext xmlns:c16="http://schemas.microsoft.com/office/drawing/2014/chart" uri="{C3380CC4-5D6E-409C-BE32-E72D297353CC}">
              <c16:uniqueId val="{00000007-2969-4762-BEA3-9E3C552460D5}"/>
            </c:ext>
          </c:extLst>
        </c:ser>
        <c:ser>
          <c:idx val="7"/>
          <c:order val="7"/>
          <c:tx>
            <c:v>h=-5</c:v>
          </c:tx>
          <c:spPr>
            <a:ln w="3175">
              <a:solidFill>
                <a:srgbClr val="808080"/>
              </a:solidFill>
              <a:prstDash val="solid"/>
            </a:ln>
          </c:spPr>
          <c:marker>
            <c:symbol val="none"/>
          </c:marker>
          <c:dLbls>
            <c:dLbl>
              <c:idx val="0"/>
              <c:layout>
                <c:manualLayout>
                  <c:x val="-5.2083333333333374E-3"/>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-10.597042094421516</c:v>
              </c:pt>
              <c:pt idx="1">
                <c:v>-5</c:v>
              </c:pt>
            </c:numLit>
          </c:xVal>
          <c:yVal>
            <c:numLit>
              <c:formatCode>General</c:formatCode>
              <c:ptCount val="2"/>
              <c:pt idx="0">
                <c:v>2.1574474597478603E-3</c:v>
              </c:pt>
              <c:pt idx="1">
                <c:v>0</c:v>
              </c:pt>
            </c:numLit>
          </c:yVal>
          <c:smooth val="0"/>
          <c:extLst>
            <c:ext xmlns:c16="http://schemas.microsoft.com/office/drawing/2014/chart" uri="{C3380CC4-5D6E-409C-BE32-E72D297353CC}">
              <c16:uniqueId val="{00000009-2969-4762-BEA3-9E3C552460D5}"/>
            </c:ext>
          </c:extLst>
        </c:ser>
        <c:ser>
          <c:idx val="8"/>
          <c:order val="8"/>
          <c:tx>
            <c:v>h=-4</c:v>
          </c:tx>
          <c:spPr>
            <a:ln w="3175">
              <a:solidFill>
                <a:srgbClr val="808080"/>
              </a:solidFill>
              <a:prstDash val="solid"/>
            </a:ln>
          </c:spPr>
          <c:marker>
            <c:symbol val="none"/>
          </c:marker>
          <c:xVal>
            <c:numLit>
              <c:formatCode>General</c:formatCode>
              <c:ptCount val="2"/>
              <c:pt idx="0">
                <c:v>-10.276111217605109</c:v>
              </c:pt>
              <c:pt idx="1">
                <c:v>-9.9761112176051103</c:v>
              </c:pt>
            </c:numLit>
          </c:xVal>
          <c:yVal>
            <c:numLit>
              <c:formatCode>General</c:formatCode>
              <c:ptCount val="2"/>
              <c:pt idx="0">
                <c:v>2.4155288154826438E-3</c:v>
              </c:pt>
              <c:pt idx="1">
                <c:v>2.3000658130724804E-3</c:v>
              </c:pt>
            </c:numLit>
          </c:yVal>
          <c:smooth val="0"/>
          <c:extLst>
            <c:ext xmlns:c16="http://schemas.microsoft.com/office/drawing/2014/chart" uri="{C3380CC4-5D6E-409C-BE32-E72D297353CC}">
              <c16:uniqueId val="{0000000A-2969-4762-BEA3-9E3C552460D5}"/>
            </c:ext>
          </c:extLst>
        </c:ser>
        <c:ser>
          <c:idx val="9"/>
          <c:order val="9"/>
          <c:tx>
            <c:v>h=-3</c:v>
          </c:tx>
          <c:spPr>
            <a:ln w="3175">
              <a:solidFill>
                <a:srgbClr val="808080"/>
              </a:solidFill>
              <a:prstDash val="solid"/>
            </a:ln>
          </c:spPr>
          <c:marker>
            <c:symbol val="none"/>
          </c:marker>
          <c:xVal>
            <c:numLit>
              <c:formatCode>General</c:formatCode>
              <c:ptCount val="2"/>
              <c:pt idx="0">
                <c:v>-9.9551803407887043</c:v>
              </c:pt>
              <c:pt idx="1">
                <c:v>-9.6551803407887036</c:v>
              </c:pt>
            </c:numLit>
          </c:xVal>
          <c:yVal>
            <c:numLit>
              <c:formatCode>General</c:formatCode>
              <c:ptCount val="2"/>
              <c:pt idx="0">
                <c:v>2.6736101712174273E-3</c:v>
              </c:pt>
              <c:pt idx="1">
                <c:v>2.5582884955649057E-3</c:v>
              </c:pt>
            </c:numLit>
          </c:yVal>
          <c:smooth val="0"/>
          <c:extLst>
            <c:ext xmlns:c16="http://schemas.microsoft.com/office/drawing/2014/chart" uri="{C3380CC4-5D6E-409C-BE32-E72D297353CC}">
              <c16:uniqueId val="{0000000B-2969-4762-BEA3-9E3C552460D5}"/>
            </c:ext>
          </c:extLst>
        </c:ser>
        <c:ser>
          <c:idx val="10"/>
          <c:order val="10"/>
          <c:tx>
            <c:v>h=-2</c:v>
          </c:tx>
          <c:spPr>
            <a:ln w="3175">
              <a:solidFill>
                <a:srgbClr val="808080"/>
              </a:solidFill>
              <a:prstDash val="solid"/>
            </a:ln>
          </c:spPr>
          <c:marker>
            <c:symbol val="none"/>
          </c:marker>
          <c:xVal>
            <c:numLit>
              <c:formatCode>General</c:formatCode>
              <c:ptCount val="2"/>
              <c:pt idx="0">
                <c:v>-9.6342494639722975</c:v>
              </c:pt>
              <c:pt idx="1">
                <c:v>-9.3342494639722986</c:v>
              </c:pt>
            </c:numLit>
          </c:xVal>
          <c:yVal>
            <c:numLit>
              <c:formatCode>General</c:formatCode>
              <c:ptCount val="2"/>
              <c:pt idx="0">
                <c:v>2.9316915269522108E-3</c:v>
              </c:pt>
              <c:pt idx="1">
                <c:v>2.8164860359296481E-3</c:v>
              </c:pt>
            </c:numLit>
          </c:yVal>
          <c:smooth val="0"/>
          <c:extLst>
            <c:ext xmlns:c16="http://schemas.microsoft.com/office/drawing/2014/chart" uri="{C3380CC4-5D6E-409C-BE32-E72D297353CC}">
              <c16:uniqueId val="{0000000C-2969-4762-BEA3-9E3C552460D5}"/>
            </c:ext>
          </c:extLst>
        </c:ser>
        <c:ser>
          <c:idx val="11"/>
          <c:order val="11"/>
          <c:tx>
            <c:v>h=-1</c:v>
          </c:tx>
          <c:spPr>
            <a:ln w="3175">
              <a:solidFill>
                <a:srgbClr val="808080"/>
              </a:solidFill>
              <a:prstDash val="solid"/>
            </a:ln>
          </c:spPr>
          <c:marker>
            <c:symbol val="none"/>
          </c:marker>
          <c:xVal>
            <c:numLit>
              <c:formatCode>General</c:formatCode>
              <c:ptCount val="2"/>
              <c:pt idx="0">
                <c:v>-9.3133185871558926</c:v>
              </c:pt>
              <c:pt idx="1">
                <c:v>-9.0133185871558918</c:v>
              </c:pt>
            </c:numLit>
          </c:xVal>
          <c:yVal>
            <c:numLit>
              <c:formatCode>General</c:formatCode>
              <c:ptCount val="2"/>
              <c:pt idx="0">
                <c:v>3.1897728826869943E-3</c:v>
              </c:pt>
              <c:pt idx="1">
                <c:v>3.0746645953317422E-3</c:v>
              </c:pt>
            </c:numLit>
          </c:yVal>
          <c:smooth val="0"/>
          <c:extLst>
            <c:ext xmlns:c16="http://schemas.microsoft.com/office/drawing/2014/chart" uri="{C3380CC4-5D6E-409C-BE32-E72D297353CC}">
              <c16:uniqueId val="{0000000D-2969-4762-BEA3-9E3C552460D5}"/>
            </c:ext>
          </c:extLst>
        </c:ser>
        <c:ser>
          <c:idx val="12"/>
          <c:order val="12"/>
          <c:tx>
            <c:v>h=0</c:v>
          </c:tx>
          <c:spPr>
            <a:ln w="3175">
              <a:solidFill>
                <a:srgbClr val="808080"/>
              </a:solidFill>
              <a:prstDash val="solid"/>
            </a:ln>
          </c:spPr>
          <c:marker>
            <c:symbol val="none"/>
          </c:marker>
          <c:dLbls>
            <c:dLbl>
              <c:idx val="0"/>
              <c:layout>
                <c:manualLayout>
                  <c:x val="-2.810162401574803E-2"/>
                  <c:y val="-6.194225721784777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-8.9923877103394858</c:v>
              </c:pt>
              <c:pt idx="1">
                <c:v>0</c:v>
              </c:pt>
            </c:numLit>
          </c:xVal>
          <c:yVal>
            <c:numLit>
              <c:formatCode>General</c:formatCode>
              <c:ptCount val="2"/>
              <c:pt idx="0">
                <c:v>3.4478542384217777E-3</c:v>
              </c:pt>
              <c:pt idx="1">
                <c:v>0</c:v>
              </c:pt>
            </c:numLit>
          </c:yVal>
          <c:smooth val="0"/>
          <c:extLst>
            <c:ext xmlns:c16="http://schemas.microsoft.com/office/drawing/2014/chart" uri="{C3380CC4-5D6E-409C-BE32-E72D297353CC}">
              <c16:uniqueId val="{0000000F-2969-4762-BEA3-9E3C552460D5}"/>
            </c:ext>
          </c:extLst>
        </c:ser>
        <c:ser>
          <c:idx val="13"/>
          <c:order val="13"/>
          <c:tx>
            <c:v>h=1</c:v>
          </c:tx>
          <c:spPr>
            <a:ln w="3175">
              <a:solidFill>
                <a:srgbClr val="808080"/>
              </a:solidFill>
              <a:prstDash val="solid"/>
            </a:ln>
          </c:spPr>
          <c:marker>
            <c:symbol val="none"/>
          </c:marker>
          <c:xVal>
            <c:numLit>
              <c:formatCode>General</c:formatCode>
              <c:ptCount val="2"/>
              <c:pt idx="0">
                <c:v>-8.6714568335230791</c:v>
              </c:pt>
              <c:pt idx="1">
                <c:v>-8.3714568335230801</c:v>
              </c:pt>
            </c:numLit>
          </c:xVal>
          <c:yVal>
            <c:numLit>
              <c:formatCode>General</c:formatCode>
              <c:ptCount val="2"/>
              <c:pt idx="0">
                <c:v>3.7059355941565612E-3</c:v>
              </c:pt>
              <c:pt idx="1">
                <c:v>3.5909807639397393E-3</c:v>
              </c:pt>
            </c:numLit>
          </c:yVal>
          <c:smooth val="0"/>
          <c:extLst>
            <c:ext xmlns:c16="http://schemas.microsoft.com/office/drawing/2014/chart" uri="{C3380CC4-5D6E-409C-BE32-E72D297353CC}">
              <c16:uniqueId val="{00000010-2969-4762-BEA3-9E3C552460D5}"/>
            </c:ext>
          </c:extLst>
        </c:ser>
        <c:ser>
          <c:idx val="14"/>
          <c:order val="14"/>
          <c:tx>
            <c:v>h=2</c:v>
          </c:tx>
          <c:spPr>
            <a:ln w="3175">
              <a:solidFill>
                <a:srgbClr val="808080"/>
              </a:solidFill>
              <a:prstDash val="solid"/>
            </a:ln>
          </c:spPr>
          <c:marker>
            <c:symbol val="none"/>
          </c:marker>
          <c:xVal>
            <c:numLit>
              <c:formatCode>General</c:formatCode>
              <c:ptCount val="2"/>
              <c:pt idx="0">
                <c:v>-8.3505259567066741</c:v>
              </c:pt>
              <c:pt idx="1">
                <c:v>-8.0505259567066734</c:v>
              </c:pt>
            </c:numLit>
          </c:xVal>
          <c:yVal>
            <c:numLit>
              <c:formatCode>General</c:formatCode>
              <c:ptCount val="2"/>
              <c:pt idx="0">
                <c:v>3.9640169498913452E-3</c:v>
              </c:pt>
              <c:pt idx="1">
                <c:v>3.8491237464018304E-3</c:v>
              </c:pt>
            </c:numLit>
          </c:yVal>
          <c:smooth val="0"/>
          <c:extLst>
            <c:ext xmlns:c16="http://schemas.microsoft.com/office/drawing/2014/chart" uri="{C3380CC4-5D6E-409C-BE32-E72D297353CC}">
              <c16:uniqueId val="{00000011-2969-4762-BEA3-9E3C552460D5}"/>
            </c:ext>
          </c:extLst>
        </c:ser>
        <c:ser>
          <c:idx val="15"/>
          <c:order val="15"/>
          <c:tx>
            <c:v>h=3</c:v>
          </c:tx>
          <c:spPr>
            <a:ln w="3175">
              <a:solidFill>
                <a:srgbClr val="808080"/>
              </a:solidFill>
              <a:prstDash val="solid"/>
            </a:ln>
          </c:spPr>
          <c:marker>
            <c:symbol val="none"/>
          </c:marker>
          <c:xVal>
            <c:numLit>
              <c:formatCode>General</c:formatCode>
              <c:ptCount val="2"/>
              <c:pt idx="0">
                <c:v>-8.0295950798902673</c:v>
              </c:pt>
              <c:pt idx="1">
                <c:v>-7.7295950798902675</c:v>
              </c:pt>
            </c:numLit>
          </c:xVal>
          <c:yVal>
            <c:numLit>
              <c:formatCode>General</c:formatCode>
              <c:ptCount val="2"/>
              <c:pt idx="0">
                <c:v>4.2220983056261282E-3</c:v>
              </c:pt>
              <c:pt idx="1">
                <c:v>4.1072591404062529E-3</c:v>
              </c:pt>
            </c:numLit>
          </c:yVal>
          <c:smooth val="0"/>
          <c:extLst>
            <c:ext xmlns:c16="http://schemas.microsoft.com/office/drawing/2014/chart" uri="{C3380CC4-5D6E-409C-BE32-E72D297353CC}">
              <c16:uniqueId val="{00000012-2969-4762-BEA3-9E3C552460D5}"/>
            </c:ext>
          </c:extLst>
        </c:ser>
        <c:ser>
          <c:idx val="16"/>
          <c:order val="16"/>
          <c:tx>
            <c:v>h=4</c:v>
          </c:tx>
          <c:spPr>
            <a:ln w="3175">
              <a:solidFill>
                <a:srgbClr val="808080"/>
              </a:solidFill>
              <a:prstDash val="solid"/>
            </a:ln>
          </c:spPr>
          <c:marker>
            <c:symbol val="none"/>
          </c:marker>
          <c:xVal>
            <c:numLit>
              <c:formatCode>General</c:formatCode>
              <c:ptCount val="2"/>
              <c:pt idx="0">
                <c:v>-7.7086642030738615</c:v>
              </c:pt>
              <c:pt idx="1">
                <c:v>-7.4086642030738616</c:v>
              </c:pt>
            </c:numLit>
          </c:xVal>
          <c:yVal>
            <c:numLit>
              <c:formatCode>General</c:formatCode>
              <c:ptCount val="2"/>
              <c:pt idx="0">
                <c:v>4.4801796613609121E-3</c:v>
              </c:pt>
              <c:pt idx="1">
                <c:v>4.3653882662797018E-3</c:v>
              </c:pt>
            </c:numLit>
          </c:yVal>
          <c:smooth val="0"/>
          <c:extLst>
            <c:ext xmlns:c16="http://schemas.microsoft.com/office/drawing/2014/chart" uri="{C3380CC4-5D6E-409C-BE32-E72D297353CC}">
              <c16:uniqueId val="{00000013-2969-4762-BEA3-9E3C552460D5}"/>
            </c:ext>
          </c:extLst>
        </c:ser>
        <c:ser>
          <c:idx val="17"/>
          <c:order val="17"/>
          <c:tx>
            <c:v>h=5</c:v>
          </c:tx>
          <c:spPr>
            <a:ln w="3175">
              <a:solidFill>
                <a:srgbClr val="808080"/>
              </a:solidFill>
              <a:prstDash val="solid"/>
            </a:ln>
          </c:spPr>
          <c:marker>
            <c:symbol val="none"/>
          </c:marker>
          <c:dLbls>
            <c:dLbl>
              <c:idx val="0"/>
              <c:layout>
                <c:manualLayout>
                  <c:x val="-2.810162401574803E-2"/>
                  <c:y val="-6.194225721784777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-7.3877333262574556</c:v>
              </c:pt>
              <c:pt idx="1">
                <c:v>5</c:v>
              </c:pt>
            </c:numLit>
          </c:xVal>
          <c:yVal>
            <c:numLit>
              <c:formatCode>General</c:formatCode>
              <c:ptCount val="2"/>
              <c:pt idx="0">
                <c:v>4.7382610170956952E-3</c:v>
              </c:pt>
              <c:pt idx="1">
                <c:v>0</c:v>
              </c:pt>
            </c:numLit>
          </c:yVal>
          <c:smooth val="0"/>
          <c:extLst>
            <c:ext xmlns:c16="http://schemas.microsoft.com/office/drawing/2014/chart" uri="{C3380CC4-5D6E-409C-BE32-E72D297353CC}">
              <c16:uniqueId val="{00000015-2969-4762-BEA3-9E3C552460D5}"/>
            </c:ext>
          </c:extLst>
        </c:ser>
        <c:ser>
          <c:idx val="18"/>
          <c:order val="18"/>
          <c:tx>
            <c:v>h=6</c:v>
          </c:tx>
          <c:spPr>
            <a:ln w="3175">
              <a:solidFill>
                <a:srgbClr val="808080"/>
              </a:solidFill>
              <a:prstDash val="solid"/>
            </a:ln>
          </c:spPr>
          <c:marker>
            <c:symbol val="none"/>
          </c:marker>
          <c:xVal>
            <c:numLit>
              <c:formatCode>General</c:formatCode>
              <c:ptCount val="2"/>
              <c:pt idx="0">
                <c:v>-7.0668024494410497</c:v>
              </c:pt>
              <c:pt idx="1">
                <c:v>-6.7668024494410499</c:v>
              </c:pt>
            </c:numLit>
          </c:xVal>
          <c:yVal>
            <c:numLit>
              <c:formatCode>General</c:formatCode>
              <c:ptCount val="2"/>
              <c:pt idx="0">
                <c:v>4.9963423728304791E-3</c:v>
              </c:pt>
              <c:pt idx="1">
                <c:v>4.881631622618344E-3</c:v>
              </c:pt>
            </c:numLit>
          </c:yVal>
          <c:smooth val="0"/>
          <c:extLst>
            <c:ext xmlns:c16="http://schemas.microsoft.com/office/drawing/2014/chart" uri="{C3380CC4-5D6E-409C-BE32-E72D297353CC}">
              <c16:uniqueId val="{00000016-2969-4762-BEA3-9E3C552460D5}"/>
            </c:ext>
          </c:extLst>
        </c:ser>
        <c:ser>
          <c:idx val="19"/>
          <c:order val="19"/>
          <c:tx>
            <c:v>h=7</c:v>
          </c:tx>
          <c:spPr>
            <a:ln w="3175">
              <a:solidFill>
                <a:srgbClr val="808080"/>
              </a:solidFill>
              <a:prstDash val="solid"/>
            </a:ln>
          </c:spPr>
          <c:marker>
            <c:symbol val="none"/>
          </c:marker>
          <c:xVal>
            <c:numLit>
              <c:formatCode>General</c:formatCode>
              <c:ptCount val="2"/>
              <c:pt idx="0">
                <c:v>-6.7458715726246439</c:v>
              </c:pt>
              <c:pt idx="1">
                <c:v>-6.4458715726246441</c:v>
              </c:pt>
            </c:numLit>
          </c:xVal>
          <c:yVal>
            <c:numLit>
              <c:formatCode>General</c:formatCode>
              <c:ptCount val="2"/>
              <c:pt idx="0">
                <c:v>5.2544237285652622E-3</c:v>
              </c:pt>
              <c:pt idx="1">
                <c:v>5.1397473247998668E-3</c:v>
              </c:pt>
            </c:numLit>
          </c:yVal>
          <c:smooth val="0"/>
          <c:extLst>
            <c:ext xmlns:c16="http://schemas.microsoft.com/office/drawing/2014/chart" uri="{C3380CC4-5D6E-409C-BE32-E72D297353CC}">
              <c16:uniqueId val="{00000017-2969-4762-BEA3-9E3C552460D5}"/>
            </c:ext>
          </c:extLst>
        </c:ser>
        <c:ser>
          <c:idx val="20"/>
          <c:order val="20"/>
          <c:tx>
            <c:v>h=8</c:v>
          </c:tx>
          <c:spPr>
            <a:ln w="3175">
              <a:solidFill>
                <a:srgbClr val="808080"/>
              </a:solidFill>
              <a:prstDash val="solid"/>
            </a:ln>
          </c:spPr>
          <c:marker>
            <c:symbol val="none"/>
          </c:marker>
          <c:xVal>
            <c:numLit>
              <c:formatCode>General</c:formatCode>
              <c:ptCount val="2"/>
              <c:pt idx="0">
                <c:v>-6.424940695808238</c:v>
              </c:pt>
              <c:pt idx="1">
                <c:v>-6.1249406958082382</c:v>
              </c:pt>
            </c:numLit>
          </c:xVal>
          <c:yVal>
            <c:numLit>
              <c:formatCode>General</c:formatCode>
              <c:ptCount val="2"/>
              <c:pt idx="0">
                <c:v>5.5125050843000461E-3</c:v>
              </c:pt>
              <c:pt idx="1">
                <c:v>5.3978597931918079E-3</c:v>
              </c:pt>
            </c:numLit>
          </c:yVal>
          <c:smooth val="0"/>
          <c:extLst>
            <c:ext xmlns:c16="http://schemas.microsoft.com/office/drawing/2014/chart" uri="{C3380CC4-5D6E-409C-BE32-E72D297353CC}">
              <c16:uniqueId val="{00000018-2969-4762-BEA3-9E3C552460D5}"/>
            </c:ext>
          </c:extLst>
        </c:ser>
        <c:ser>
          <c:idx val="21"/>
          <c:order val="21"/>
          <c:tx>
            <c:v>h=9</c:v>
          </c:tx>
          <c:spPr>
            <a:ln w="3175">
              <a:solidFill>
                <a:srgbClr val="808080"/>
              </a:solidFill>
              <a:prstDash val="solid"/>
            </a:ln>
          </c:spPr>
          <c:marker>
            <c:symbol val="none"/>
          </c:marker>
          <c:xVal>
            <c:numLit>
              <c:formatCode>General</c:formatCode>
              <c:ptCount val="2"/>
              <c:pt idx="0">
                <c:v>-6.1040098189918321</c:v>
              </c:pt>
              <c:pt idx="1">
                <c:v>-5.8040098189918323</c:v>
              </c:pt>
            </c:numLit>
          </c:xVal>
          <c:yVal>
            <c:numLit>
              <c:formatCode>General</c:formatCode>
              <c:ptCount val="2"/>
              <c:pt idx="0">
                <c:v>5.7705864400348292E-3</c:v>
              </c:pt>
              <c:pt idx="1">
                <c:v>5.6559694639631069E-3</c:v>
              </c:pt>
            </c:numLit>
          </c:yVal>
          <c:smooth val="0"/>
          <c:extLst>
            <c:ext xmlns:c16="http://schemas.microsoft.com/office/drawing/2014/chart" uri="{C3380CC4-5D6E-409C-BE32-E72D297353CC}">
              <c16:uniqueId val="{00000019-2969-4762-BEA3-9E3C552460D5}"/>
            </c:ext>
          </c:extLst>
        </c:ser>
        <c:ser>
          <c:idx val="22"/>
          <c:order val="22"/>
          <c:tx>
            <c:v>h=10</c:v>
          </c:tx>
          <c:spPr>
            <a:ln w="3175">
              <a:solidFill>
                <a:srgbClr val="808080"/>
              </a:solidFill>
              <a:prstDash val="solid"/>
            </a:ln>
          </c:spPr>
          <c:marker>
            <c:symbol val="none"/>
          </c:marker>
          <c:dLbls>
            <c:dLbl>
              <c:idx val="0"/>
              <c:layout>
                <c:manualLayout>
                  <c:x val="-2.9887357830271216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-5.7830789421754263</c:v>
              </c:pt>
              <c:pt idx="1">
                <c:v>10</c:v>
              </c:pt>
            </c:numLit>
          </c:xVal>
          <c:yVal>
            <c:numLit>
              <c:formatCode>General</c:formatCode>
              <c:ptCount val="2"/>
              <c:pt idx="0">
                <c:v>6.0286677957696131E-3</c:v>
              </c:pt>
              <c:pt idx="1">
                <c:v>0</c:v>
              </c:pt>
            </c:numLit>
          </c:yVal>
          <c:smooth val="0"/>
          <c:extLst>
            <c:ext xmlns:c16="http://schemas.microsoft.com/office/drawing/2014/chart" uri="{C3380CC4-5D6E-409C-BE32-E72D297353CC}">
              <c16:uniqueId val="{0000001B-2969-4762-BEA3-9E3C552460D5}"/>
            </c:ext>
          </c:extLst>
        </c:ser>
        <c:ser>
          <c:idx val="23"/>
          <c:order val="23"/>
          <c:tx>
            <c:v>h=11</c:v>
          </c:tx>
          <c:spPr>
            <a:ln w="3175">
              <a:solidFill>
                <a:srgbClr val="808080"/>
              </a:solidFill>
              <a:prstDash val="solid"/>
            </a:ln>
          </c:spPr>
          <c:marker>
            <c:symbol val="none"/>
          </c:marker>
          <c:xVal>
            <c:numLit>
              <c:formatCode>General</c:formatCode>
              <c:ptCount val="2"/>
              <c:pt idx="0">
                <c:v>-5.4621480653590204</c:v>
              </c:pt>
              <c:pt idx="1">
                <c:v>-5.1621480653590197</c:v>
              </c:pt>
            </c:numLit>
          </c:xVal>
          <c:yVal>
            <c:numLit>
              <c:formatCode>General</c:formatCode>
              <c:ptCount val="2"/>
              <c:pt idx="0">
                <c:v>6.2867491515043962E-3</c:v>
              </c:pt>
              <c:pt idx="1">
                <c:v>6.172181797477248E-3</c:v>
              </c:pt>
            </c:numLit>
          </c:yVal>
          <c:smooth val="0"/>
          <c:extLst>
            <c:ext xmlns:c16="http://schemas.microsoft.com/office/drawing/2014/chart" uri="{C3380CC4-5D6E-409C-BE32-E72D297353CC}">
              <c16:uniqueId val="{0000001C-2969-4762-BEA3-9E3C552460D5}"/>
            </c:ext>
          </c:extLst>
        </c:ser>
        <c:ser>
          <c:idx val="24"/>
          <c:order val="24"/>
          <c:tx>
            <c:v>h=12</c:v>
          </c:tx>
          <c:spPr>
            <a:ln w="3175">
              <a:solidFill>
                <a:srgbClr val="808080"/>
              </a:solidFill>
              <a:prstDash val="solid"/>
            </a:ln>
          </c:spPr>
          <c:marker>
            <c:symbol val="none"/>
          </c:marker>
          <c:xVal>
            <c:numLit>
              <c:formatCode>General</c:formatCode>
              <c:ptCount val="2"/>
              <c:pt idx="0">
                <c:v>-5.1412171885426137</c:v>
              </c:pt>
              <c:pt idx="1">
                <c:v>-4.8412171885426138</c:v>
              </c:pt>
            </c:numLit>
          </c:xVal>
          <c:yVal>
            <c:numLit>
              <c:formatCode>General</c:formatCode>
              <c:ptCount val="2"/>
              <c:pt idx="0">
                <c:v>6.5448305072391801E-3</c:v>
              </c:pt>
              <c:pt idx="1">
                <c:v>6.4302850154823784E-3</c:v>
              </c:pt>
            </c:numLit>
          </c:yVal>
          <c:smooth val="0"/>
          <c:extLst>
            <c:ext xmlns:c16="http://schemas.microsoft.com/office/drawing/2014/chart" uri="{C3380CC4-5D6E-409C-BE32-E72D297353CC}">
              <c16:uniqueId val="{0000001D-2969-4762-BEA3-9E3C552460D5}"/>
            </c:ext>
          </c:extLst>
        </c:ser>
        <c:ser>
          <c:idx val="25"/>
          <c:order val="25"/>
          <c:tx>
            <c:v>h=13</c:v>
          </c:tx>
          <c:spPr>
            <a:ln w="3175">
              <a:solidFill>
                <a:srgbClr val="808080"/>
              </a:solidFill>
              <a:prstDash val="solid"/>
            </a:ln>
          </c:spPr>
          <c:marker>
            <c:symbol val="none"/>
          </c:marker>
          <c:xVal>
            <c:numLit>
              <c:formatCode>General</c:formatCode>
              <c:ptCount val="2"/>
              <c:pt idx="0">
                <c:v>-4.8202863117262078</c:v>
              </c:pt>
              <c:pt idx="1">
                <c:v>-4.520286311726208</c:v>
              </c:pt>
            </c:numLit>
          </c:xVal>
          <c:yVal>
            <c:numLit>
              <c:formatCode>General</c:formatCode>
              <c:ptCount val="2"/>
              <c:pt idx="0">
                <c:v>6.8029118629739632E-3</c:v>
              </c:pt>
              <c:pt idx="1">
                <c:v>6.6883865672973586E-3</c:v>
              </c:pt>
            </c:numLit>
          </c:yVal>
          <c:smooth val="0"/>
          <c:extLst>
            <c:ext xmlns:c16="http://schemas.microsoft.com/office/drawing/2014/chart" uri="{C3380CC4-5D6E-409C-BE32-E72D297353CC}">
              <c16:uniqueId val="{0000001E-2969-4762-BEA3-9E3C552460D5}"/>
            </c:ext>
          </c:extLst>
        </c:ser>
        <c:ser>
          <c:idx val="26"/>
          <c:order val="26"/>
          <c:tx>
            <c:v>h=14</c:v>
          </c:tx>
          <c:spPr>
            <a:ln w="3175">
              <a:solidFill>
                <a:srgbClr val="808080"/>
              </a:solidFill>
              <a:prstDash val="solid"/>
            </a:ln>
          </c:spPr>
          <c:marker>
            <c:symbol val="none"/>
          </c:marker>
          <c:xVal>
            <c:numLit>
              <c:formatCode>General</c:formatCode>
              <c:ptCount val="2"/>
              <c:pt idx="0">
                <c:v>-4.4993554349098019</c:v>
              </c:pt>
              <c:pt idx="1">
                <c:v>-4.1993554349098021</c:v>
              </c:pt>
            </c:numLit>
          </c:xVal>
          <c:yVal>
            <c:numLit>
              <c:formatCode>General</c:formatCode>
              <c:ptCount val="2"/>
              <c:pt idx="0">
                <c:v>7.0609932187087471E-3</c:v>
              </c:pt>
              <c:pt idx="1">
                <c:v>6.9464866364083054E-3</c:v>
              </c:pt>
            </c:numLit>
          </c:yVal>
          <c:smooth val="0"/>
          <c:extLst>
            <c:ext xmlns:c16="http://schemas.microsoft.com/office/drawing/2014/chart" uri="{C3380CC4-5D6E-409C-BE32-E72D297353CC}">
              <c16:uniqueId val="{0000001F-2969-4762-BEA3-9E3C552460D5}"/>
            </c:ext>
          </c:extLst>
        </c:ser>
        <c:ser>
          <c:idx val="27"/>
          <c:order val="27"/>
          <c:tx>
            <c:v>h=15</c:v>
          </c:tx>
          <c:spPr>
            <a:ln w="3175">
              <a:solidFill>
                <a:srgbClr val="808080"/>
              </a:solidFill>
              <a:prstDash val="solid"/>
            </a:ln>
          </c:spPr>
          <c:marker>
            <c:symbol val="none"/>
          </c:marker>
          <c:dLbls>
            <c:dLbl>
              <c:idx val="0"/>
              <c:layout>
                <c:manualLayout>
                  <c:x val="-2.9887357830271234E-2"/>
                  <c:y val="-9.219328353186699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-4.1784245580933961</c:v>
              </c:pt>
              <c:pt idx="1">
                <c:v>15</c:v>
              </c:pt>
            </c:numLit>
          </c:xVal>
          <c:yVal>
            <c:numLit>
              <c:formatCode>General</c:formatCode>
              <c:ptCount val="2"/>
              <c:pt idx="0">
                <c:v>7.3190745744435301E-3</c:v>
              </c:pt>
              <c:pt idx="1">
                <c:v>0</c:v>
              </c:pt>
            </c:numLit>
          </c:yVal>
          <c:smooth val="0"/>
          <c:extLst>
            <c:ext xmlns:c16="http://schemas.microsoft.com/office/drawing/2014/chart" uri="{C3380CC4-5D6E-409C-BE32-E72D297353CC}">
              <c16:uniqueId val="{00000021-2969-4762-BEA3-9E3C552460D5}"/>
            </c:ext>
          </c:extLst>
        </c:ser>
        <c:ser>
          <c:idx val="28"/>
          <c:order val="28"/>
          <c:tx>
            <c:v>h=16</c:v>
          </c:tx>
          <c:spPr>
            <a:ln w="3175">
              <a:solidFill>
                <a:srgbClr val="808080"/>
              </a:solidFill>
              <a:prstDash val="solid"/>
            </a:ln>
          </c:spPr>
          <c:marker>
            <c:symbol val="none"/>
          </c:marker>
          <c:xVal>
            <c:numLit>
              <c:formatCode>General</c:formatCode>
              <c:ptCount val="2"/>
              <c:pt idx="0">
                <c:v>-3.8574936812769902</c:v>
              </c:pt>
              <c:pt idx="1">
                <c:v>-3.5574936812769899</c:v>
              </c:pt>
            </c:numLit>
          </c:xVal>
          <c:yVal>
            <c:numLit>
              <c:formatCode>General</c:formatCode>
              <c:ptCount val="2"/>
              <c:pt idx="0">
                <c:v>7.5771559301783141E-3</c:v>
              </c:pt>
              <c:pt idx="1">
                <c:v>7.4626829349686129E-3</c:v>
              </c:pt>
            </c:numLit>
          </c:yVal>
          <c:smooth val="0"/>
          <c:extLst>
            <c:ext xmlns:c16="http://schemas.microsoft.com/office/drawing/2014/chart" uri="{C3380CC4-5D6E-409C-BE32-E72D297353CC}">
              <c16:uniqueId val="{00000022-2969-4762-BEA3-9E3C552460D5}"/>
            </c:ext>
          </c:extLst>
        </c:ser>
        <c:ser>
          <c:idx val="29"/>
          <c:order val="29"/>
          <c:tx>
            <c:v>h=17</c:v>
          </c:tx>
          <c:spPr>
            <a:ln w="3175">
              <a:solidFill>
                <a:srgbClr val="808080"/>
              </a:solidFill>
              <a:prstDash val="solid"/>
            </a:ln>
          </c:spPr>
          <c:marker>
            <c:symbol val="none"/>
          </c:marker>
          <c:xVal>
            <c:numLit>
              <c:formatCode>General</c:formatCode>
              <c:ptCount val="2"/>
              <c:pt idx="0">
                <c:v>-3.5365628044605839</c:v>
              </c:pt>
              <c:pt idx="1">
                <c:v>-3.2365628044605841</c:v>
              </c:pt>
            </c:numLit>
          </c:xVal>
          <c:yVal>
            <c:numLit>
              <c:formatCode>General</c:formatCode>
              <c:ptCount val="2"/>
              <c:pt idx="0">
                <c:v>7.8352372859130971E-3</c:v>
              </c:pt>
              <c:pt idx="1">
                <c:v>7.7207794183451429E-3</c:v>
              </c:pt>
            </c:numLit>
          </c:yVal>
          <c:smooth val="0"/>
          <c:extLst>
            <c:ext xmlns:c16="http://schemas.microsoft.com/office/drawing/2014/chart" uri="{C3380CC4-5D6E-409C-BE32-E72D297353CC}">
              <c16:uniqueId val="{00000023-2969-4762-BEA3-9E3C552460D5}"/>
            </c:ext>
          </c:extLst>
        </c:ser>
        <c:ser>
          <c:idx val="30"/>
          <c:order val="30"/>
          <c:tx>
            <c:v>h=18</c:v>
          </c:tx>
          <c:spPr>
            <a:ln w="3175">
              <a:solidFill>
                <a:srgbClr val="808080"/>
              </a:solidFill>
              <a:prstDash val="solid"/>
            </a:ln>
          </c:spPr>
          <c:marker>
            <c:symbol val="none"/>
          </c:marker>
          <c:xVal>
            <c:numLit>
              <c:formatCode>General</c:formatCode>
              <c:ptCount val="2"/>
              <c:pt idx="0">
                <c:v>-3.215631927644178</c:v>
              </c:pt>
              <c:pt idx="1">
                <c:v>-2.9156319276441782</c:v>
              </c:pt>
            </c:numLit>
          </c:xVal>
          <c:yVal>
            <c:numLit>
              <c:formatCode>General</c:formatCode>
              <c:ptCount val="2"/>
              <c:pt idx="0">
                <c:v>8.093318641647881E-3</c:v>
              </c:pt>
              <c:pt idx="1">
                <c:v>7.9788749333117338E-3</c:v>
              </c:pt>
            </c:numLit>
          </c:yVal>
          <c:smooth val="0"/>
          <c:extLst>
            <c:ext xmlns:c16="http://schemas.microsoft.com/office/drawing/2014/chart" uri="{C3380CC4-5D6E-409C-BE32-E72D297353CC}">
              <c16:uniqueId val="{00000024-2969-4762-BEA3-9E3C552460D5}"/>
            </c:ext>
          </c:extLst>
        </c:ser>
        <c:ser>
          <c:idx val="31"/>
          <c:order val="31"/>
          <c:tx>
            <c:v>h=19</c:v>
          </c:tx>
          <c:spPr>
            <a:ln w="3175">
              <a:solidFill>
                <a:srgbClr val="808080"/>
              </a:solidFill>
              <a:prstDash val="solid"/>
            </a:ln>
          </c:spPr>
          <c:marker>
            <c:symbol val="none"/>
          </c:marker>
          <c:xVal>
            <c:numLit>
              <c:formatCode>General</c:formatCode>
              <c:ptCount val="2"/>
              <c:pt idx="0">
                <c:v>-2.8947010508277722</c:v>
              </c:pt>
              <c:pt idx="1">
                <c:v>-2.5947010508277724</c:v>
              </c:pt>
            </c:numLit>
          </c:xVal>
          <c:yVal>
            <c:numLit>
              <c:formatCode>General</c:formatCode>
              <c:ptCount val="2"/>
              <c:pt idx="0">
                <c:v>8.351399997382665E-3</c:v>
              </c:pt>
              <c:pt idx="1">
                <c:v>8.2369695699747482E-3</c:v>
              </c:pt>
            </c:numLit>
          </c:yVal>
          <c:smooth val="0"/>
          <c:extLst>
            <c:ext xmlns:c16="http://schemas.microsoft.com/office/drawing/2014/chart" uri="{C3380CC4-5D6E-409C-BE32-E72D297353CC}">
              <c16:uniqueId val="{00000025-2969-4762-BEA3-9E3C552460D5}"/>
            </c:ext>
          </c:extLst>
        </c:ser>
        <c:ser>
          <c:idx val="32"/>
          <c:order val="32"/>
          <c:tx>
            <c:v>h=20</c:v>
          </c:tx>
          <c:spPr>
            <a:ln w="3175">
              <a:solidFill>
                <a:srgbClr val="808080"/>
              </a:solidFill>
              <a:prstDash val="solid"/>
            </a:ln>
          </c:spPr>
          <c:marker>
            <c:symbol val="none"/>
          </c:marker>
          <c:dLbls>
            <c:dLbl>
              <c:idx val="0"/>
              <c:layout>
                <c:manualLayout>
                  <c:x val="-2.9887357830271216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-2.5737701740113663</c:v>
              </c:pt>
              <c:pt idx="1">
                <c:v>20</c:v>
              </c:pt>
            </c:numLit>
          </c:xVal>
          <c:yVal>
            <c:numLit>
              <c:formatCode>General</c:formatCode>
              <c:ptCount val="2"/>
              <c:pt idx="0">
                <c:v>8.6094813531174472E-3</c:v>
              </c:pt>
              <c:pt idx="1">
                <c:v>0</c:v>
              </c:pt>
            </c:numLit>
          </c:yVal>
          <c:smooth val="0"/>
          <c:extLst>
            <c:ext xmlns:c16="http://schemas.microsoft.com/office/drawing/2014/chart" uri="{C3380CC4-5D6E-409C-BE32-E72D297353CC}">
              <c16:uniqueId val="{00000027-2969-4762-BEA3-9E3C552460D5}"/>
            </c:ext>
          </c:extLst>
        </c:ser>
        <c:ser>
          <c:idx val="33"/>
          <c:order val="33"/>
          <c:tx>
            <c:v>h=21</c:v>
          </c:tx>
          <c:spPr>
            <a:ln w="3175">
              <a:solidFill>
                <a:srgbClr val="808080"/>
              </a:solidFill>
              <a:prstDash val="solid"/>
            </a:ln>
          </c:spPr>
          <c:marker>
            <c:symbol val="none"/>
          </c:marker>
          <c:xVal>
            <c:numLit>
              <c:formatCode>General</c:formatCode>
              <c:ptCount val="2"/>
              <c:pt idx="0">
                <c:v>-2.25283929719496</c:v>
              </c:pt>
              <c:pt idx="1">
                <c:v>-1.9528392971949602</c:v>
              </c:pt>
            </c:numLit>
          </c:xVal>
          <c:yVal>
            <c:numLit>
              <c:formatCode>General</c:formatCode>
              <c:ptCount val="2"/>
              <c:pt idx="0">
                <c:v>8.8675627088522311E-3</c:v>
              </c:pt>
              <c:pt idx="1">
                <c:v>8.7531565161866939E-3</c:v>
              </c:pt>
            </c:numLit>
          </c:yVal>
          <c:smooth val="0"/>
          <c:extLst>
            <c:ext xmlns:c16="http://schemas.microsoft.com/office/drawing/2014/chart" uri="{C3380CC4-5D6E-409C-BE32-E72D297353CC}">
              <c16:uniqueId val="{00000028-2969-4762-BEA3-9E3C552460D5}"/>
            </c:ext>
          </c:extLst>
        </c:ser>
        <c:ser>
          <c:idx val="34"/>
          <c:order val="34"/>
          <c:tx>
            <c:v>h=22</c:v>
          </c:tx>
          <c:spPr>
            <a:ln w="3175">
              <a:solidFill>
                <a:srgbClr val="808080"/>
              </a:solidFill>
              <a:prstDash val="solid"/>
            </a:ln>
          </c:spPr>
          <c:marker>
            <c:symbol val="none"/>
          </c:marker>
          <c:xVal>
            <c:numLit>
              <c:formatCode>General</c:formatCode>
              <c:ptCount val="2"/>
              <c:pt idx="0">
                <c:v>-1.9319084203785541</c:v>
              </c:pt>
              <c:pt idx="1">
                <c:v>-1.6319084203785541</c:v>
              </c:pt>
            </c:numLit>
          </c:xVal>
          <c:yVal>
            <c:numLit>
              <c:formatCode>General</c:formatCode>
              <c:ptCount val="2"/>
              <c:pt idx="0">
                <c:v>9.125644064587015E-3</c:v>
              </c:pt>
              <c:pt idx="1">
                <c:v>9.0112489577995891E-3</c:v>
              </c:pt>
            </c:numLit>
          </c:yVal>
          <c:smooth val="0"/>
          <c:extLst>
            <c:ext xmlns:c16="http://schemas.microsoft.com/office/drawing/2014/chart" uri="{C3380CC4-5D6E-409C-BE32-E72D297353CC}">
              <c16:uniqueId val="{00000029-2969-4762-BEA3-9E3C552460D5}"/>
            </c:ext>
          </c:extLst>
        </c:ser>
        <c:ser>
          <c:idx val="35"/>
          <c:order val="35"/>
          <c:tx>
            <c:v>h=23</c:v>
          </c:tx>
          <c:spPr>
            <a:ln w="3175">
              <a:solidFill>
                <a:srgbClr val="808080"/>
              </a:solidFill>
              <a:prstDash val="solid"/>
            </a:ln>
          </c:spPr>
          <c:marker>
            <c:symbol val="none"/>
          </c:marker>
          <c:xVal>
            <c:numLit>
              <c:formatCode>General</c:formatCode>
              <c:ptCount val="2"/>
              <c:pt idx="0">
                <c:v>-1.6109775435621483</c:v>
              </c:pt>
              <c:pt idx="1">
                <c:v>-1.3109775435621482</c:v>
              </c:pt>
            </c:numLit>
          </c:xVal>
          <c:yVal>
            <c:numLit>
              <c:formatCode>General</c:formatCode>
              <c:ptCount val="2"/>
              <c:pt idx="0">
                <c:v>9.3837254203217989E-3</c:v>
              </c:pt>
              <c:pt idx="1">
                <c:v>9.2693407876466571E-3</c:v>
              </c:pt>
            </c:numLit>
          </c:yVal>
          <c:smooth val="0"/>
          <c:extLst>
            <c:ext xmlns:c16="http://schemas.microsoft.com/office/drawing/2014/chart" uri="{C3380CC4-5D6E-409C-BE32-E72D297353CC}">
              <c16:uniqueId val="{0000002A-2969-4762-BEA3-9E3C552460D5}"/>
            </c:ext>
          </c:extLst>
        </c:ser>
        <c:ser>
          <c:idx val="36"/>
          <c:order val="36"/>
          <c:tx>
            <c:v>h=24</c:v>
          </c:tx>
          <c:spPr>
            <a:ln w="3175">
              <a:solidFill>
                <a:srgbClr val="808080"/>
              </a:solidFill>
              <a:prstDash val="solid"/>
            </a:ln>
          </c:spPr>
          <c:marker>
            <c:symbol val="none"/>
          </c:marker>
          <c:xVal>
            <c:numLit>
              <c:formatCode>General</c:formatCode>
              <c:ptCount val="2"/>
              <c:pt idx="0">
                <c:v>-1.2900466667457422</c:v>
              </c:pt>
              <c:pt idx="1">
                <c:v>-0.99004666674574227</c:v>
              </c:pt>
            </c:numLit>
          </c:xVal>
          <c:yVal>
            <c:numLit>
              <c:formatCode>General</c:formatCode>
              <c:ptCount val="2"/>
              <c:pt idx="0">
                <c:v>9.6418067760565811E-3</c:v>
              </c:pt>
              <c:pt idx="1">
                <c:v>9.5274320550079086E-3</c:v>
              </c:pt>
            </c:numLit>
          </c:yVal>
          <c:smooth val="0"/>
          <c:extLst>
            <c:ext xmlns:c16="http://schemas.microsoft.com/office/drawing/2014/chart" uri="{C3380CC4-5D6E-409C-BE32-E72D297353CC}">
              <c16:uniqueId val="{0000002B-2969-4762-BEA3-9E3C552460D5}"/>
            </c:ext>
          </c:extLst>
        </c:ser>
        <c:ser>
          <c:idx val="37"/>
          <c:order val="37"/>
          <c:tx>
            <c:v>h=25</c:v>
          </c:tx>
          <c:spPr>
            <a:ln w="3175">
              <a:solidFill>
                <a:srgbClr val="808080"/>
              </a:solidFill>
              <a:prstDash val="solid"/>
            </a:ln>
          </c:spPr>
          <c:marker>
            <c:symbol val="none"/>
          </c:marker>
          <c:dLbls>
            <c:dLbl>
              <c:idx val="0"/>
              <c:layout>
                <c:manualLayout>
                  <c:x val="-2.9887357830271216E-2"/>
                  <c:y val="-9.2193283531867773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-0.96911578992933622</c:v>
              </c:pt>
              <c:pt idx="1">
                <c:v>25</c:v>
              </c:pt>
            </c:numLit>
          </c:xVal>
          <c:yVal>
            <c:numLit>
              <c:formatCode>General</c:formatCode>
              <c:ptCount val="2"/>
              <c:pt idx="0">
                <c:v>9.8998881317913651E-3</c:v>
              </c:pt>
              <c:pt idx="1">
                <c:v>0</c:v>
              </c:pt>
            </c:numLit>
          </c:yVal>
          <c:smooth val="0"/>
          <c:extLst>
            <c:ext xmlns:c16="http://schemas.microsoft.com/office/drawing/2014/chart" uri="{C3380CC4-5D6E-409C-BE32-E72D297353CC}">
              <c16:uniqueId val="{0000002D-2969-4762-BEA3-9E3C552460D5}"/>
            </c:ext>
          </c:extLst>
        </c:ser>
        <c:ser>
          <c:idx val="38"/>
          <c:order val="38"/>
          <c:tx>
            <c:v>h=26</c:v>
          </c:tx>
          <c:spPr>
            <a:ln w="3175">
              <a:solidFill>
                <a:srgbClr val="808080"/>
              </a:solidFill>
              <a:prstDash val="solid"/>
            </a:ln>
          </c:spPr>
          <c:marker>
            <c:symbol val="none"/>
          </c:marker>
          <c:xVal>
            <c:numLit>
              <c:formatCode>General</c:formatCode>
              <c:ptCount val="2"/>
              <c:pt idx="0">
                <c:v>-0.64818491311293025</c:v>
              </c:pt>
              <c:pt idx="1">
                <c:v>-0.34818491311293026</c:v>
              </c:pt>
            </c:numLit>
          </c:xVal>
          <c:yVal>
            <c:numLit>
              <c:formatCode>General</c:formatCode>
              <c:ptCount val="2"/>
              <c:pt idx="0">
                <c:v>1.0157969487526149E-2</c:v>
              </c:pt>
              <c:pt idx="1">
                <c:v>1.004361307427722E-2</c:v>
              </c:pt>
            </c:numLit>
          </c:yVal>
          <c:smooth val="0"/>
          <c:extLst>
            <c:ext xmlns:c16="http://schemas.microsoft.com/office/drawing/2014/chart" uri="{C3380CC4-5D6E-409C-BE32-E72D297353CC}">
              <c16:uniqueId val="{0000002E-2969-4762-BEA3-9E3C552460D5}"/>
            </c:ext>
          </c:extLst>
        </c:ser>
        <c:ser>
          <c:idx val="39"/>
          <c:order val="39"/>
          <c:tx>
            <c:v>h=27</c:v>
          </c:tx>
          <c:spPr>
            <a:ln w="3175">
              <a:solidFill>
                <a:srgbClr val="808080"/>
              </a:solidFill>
              <a:prstDash val="solid"/>
            </a:ln>
          </c:spPr>
          <c:marker>
            <c:symbol val="none"/>
          </c:marker>
          <c:xVal>
            <c:numLit>
              <c:formatCode>General</c:formatCode>
              <c:ptCount val="2"/>
              <c:pt idx="0">
                <c:v>-0.32725403629652428</c:v>
              </c:pt>
              <c:pt idx="1">
                <c:v>-2.7254036296524297E-2</c:v>
              </c:pt>
            </c:numLit>
          </c:xVal>
          <c:yVal>
            <c:numLit>
              <c:formatCode>General</c:formatCode>
              <c:ptCount val="2"/>
              <c:pt idx="0">
                <c:v>1.0416050843260933E-2</c:v>
              </c:pt>
              <c:pt idx="1">
                <c:v>1.0301702901501843E-2</c:v>
              </c:pt>
            </c:numLit>
          </c:yVal>
          <c:smooth val="0"/>
          <c:extLst>
            <c:ext xmlns:c16="http://schemas.microsoft.com/office/drawing/2014/chart" uri="{C3380CC4-5D6E-409C-BE32-E72D297353CC}">
              <c16:uniqueId val="{0000002F-2969-4762-BEA3-9E3C552460D5}"/>
            </c:ext>
          </c:extLst>
        </c:ser>
        <c:ser>
          <c:idx val="40"/>
          <c:order val="40"/>
          <c:tx>
            <c:v>h=28</c:v>
          </c:tx>
          <c:spPr>
            <a:ln w="3175">
              <a:solidFill>
                <a:srgbClr val="808080"/>
              </a:solidFill>
              <a:prstDash val="solid"/>
            </a:ln>
          </c:spPr>
          <c:marker>
            <c:symbol val="none"/>
          </c:marker>
          <c:xVal>
            <c:numLit>
              <c:formatCode>General</c:formatCode>
              <c:ptCount val="2"/>
              <c:pt idx="0">
                <c:v>-6.3231594801183046E-3</c:v>
              </c:pt>
              <c:pt idx="1">
                <c:v>0.29367684051988169</c:v>
              </c:pt>
            </c:numLit>
          </c:xVal>
          <c:yVal>
            <c:numLit>
              <c:formatCode>General</c:formatCode>
              <c:ptCount val="2"/>
              <c:pt idx="0">
                <c:v>1.0674132198995715E-2</c:v>
              </c:pt>
              <c:pt idx="1">
                <c:v>1.0559792317910155E-2</c:v>
              </c:pt>
            </c:numLit>
          </c:yVal>
          <c:smooth val="0"/>
          <c:extLst>
            <c:ext xmlns:c16="http://schemas.microsoft.com/office/drawing/2014/chart" uri="{C3380CC4-5D6E-409C-BE32-E72D297353CC}">
              <c16:uniqueId val="{00000030-2969-4762-BEA3-9E3C552460D5}"/>
            </c:ext>
          </c:extLst>
        </c:ser>
        <c:ser>
          <c:idx val="41"/>
          <c:order val="41"/>
          <c:tx>
            <c:v>h=29</c:v>
          </c:tx>
          <c:spPr>
            <a:ln w="3175">
              <a:solidFill>
                <a:srgbClr val="808080"/>
              </a:solidFill>
              <a:prstDash val="solid"/>
            </a:ln>
          </c:spPr>
          <c:marker>
            <c:symbol val="none"/>
          </c:marker>
          <c:xVal>
            <c:numLit>
              <c:formatCode>General</c:formatCode>
              <c:ptCount val="2"/>
              <c:pt idx="0">
                <c:v>0.31460771733628767</c:v>
              </c:pt>
              <c:pt idx="1">
                <c:v>0.61460771733628772</c:v>
              </c:pt>
            </c:numLit>
          </c:xVal>
          <c:yVal>
            <c:numLit>
              <c:formatCode>General</c:formatCode>
              <c:ptCount val="2"/>
              <c:pt idx="0">
                <c:v>1.0932213554730499E-2</c:v>
              </c:pt>
              <c:pt idx="1">
                <c:v>1.0817881352677914E-2</c:v>
              </c:pt>
            </c:numLit>
          </c:yVal>
          <c:smooth val="0"/>
          <c:extLst>
            <c:ext xmlns:c16="http://schemas.microsoft.com/office/drawing/2014/chart" uri="{C3380CC4-5D6E-409C-BE32-E72D297353CC}">
              <c16:uniqueId val="{00000031-2969-4762-BEA3-9E3C552460D5}"/>
            </c:ext>
          </c:extLst>
        </c:ser>
        <c:ser>
          <c:idx val="42"/>
          <c:order val="42"/>
          <c:tx>
            <c:v>h=30</c:v>
          </c:tx>
          <c:spPr>
            <a:ln w="3175">
              <a:solidFill>
                <a:srgbClr val="808080"/>
              </a:solidFill>
              <a:prstDash val="solid"/>
            </a:ln>
          </c:spPr>
          <c:marker>
            <c:symbol val="none"/>
          </c:marker>
          <c:dLbls>
            <c:dLbl>
              <c:idx val="0"/>
              <c:layout>
                <c:manualLayout>
                  <c:x val="-2.9887357830271247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0.63553859415269365</c:v>
              </c:pt>
              <c:pt idx="1">
                <c:v>30</c:v>
              </c:pt>
            </c:numLit>
          </c:xVal>
          <c:yVal>
            <c:numLit>
              <c:formatCode>General</c:formatCode>
              <c:ptCount val="2"/>
              <c:pt idx="0">
                <c:v>1.1190294910465283E-2</c:v>
              </c:pt>
              <c:pt idx="1">
                <c:v>0</c:v>
              </c:pt>
            </c:numLit>
          </c:yVal>
          <c:smooth val="0"/>
          <c:extLst>
            <c:ext xmlns:c16="http://schemas.microsoft.com/office/drawing/2014/chart" uri="{C3380CC4-5D6E-409C-BE32-E72D297353CC}">
              <c16:uniqueId val="{00000033-2969-4762-BEA3-9E3C552460D5}"/>
            </c:ext>
          </c:extLst>
        </c:ser>
        <c:ser>
          <c:idx val="43"/>
          <c:order val="43"/>
          <c:tx>
            <c:v>h=31</c:v>
          </c:tx>
          <c:spPr>
            <a:ln w="3175">
              <a:solidFill>
                <a:srgbClr val="808080"/>
              </a:solidFill>
              <a:prstDash val="solid"/>
            </a:ln>
          </c:spPr>
          <c:marker>
            <c:symbol val="none"/>
          </c:marker>
          <c:xVal>
            <c:numLit>
              <c:formatCode>General</c:formatCode>
              <c:ptCount val="2"/>
              <c:pt idx="0">
                <c:v>0.95646947096909962</c:v>
              </c:pt>
              <c:pt idx="1">
                <c:v>1.2564694709690996</c:v>
              </c:pt>
            </c:numLit>
          </c:xVal>
          <c:yVal>
            <c:numLit>
              <c:formatCode>General</c:formatCode>
              <c:ptCount val="2"/>
              <c:pt idx="0">
                <c:v>1.1448376266200067E-2</c:v>
              </c:pt>
              <c:pt idx="1">
                <c:v>1.1334058380805697E-2</c:v>
              </c:pt>
            </c:numLit>
          </c:yVal>
          <c:smooth val="0"/>
          <c:extLst>
            <c:ext xmlns:c16="http://schemas.microsoft.com/office/drawing/2014/chart" uri="{C3380CC4-5D6E-409C-BE32-E72D297353CC}">
              <c16:uniqueId val="{00000034-2969-4762-BEA3-9E3C552460D5}"/>
            </c:ext>
          </c:extLst>
        </c:ser>
        <c:ser>
          <c:idx val="44"/>
          <c:order val="44"/>
          <c:tx>
            <c:v>h=32</c:v>
          </c:tx>
          <c:spPr>
            <a:ln w="3175">
              <a:solidFill>
                <a:srgbClr val="808080"/>
              </a:solidFill>
              <a:prstDash val="solid"/>
            </a:ln>
          </c:spPr>
          <c:marker>
            <c:symbol val="none"/>
          </c:marker>
          <c:xVal>
            <c:numLit>
              <c:formatCode>General</c:formatCode>
              <c:ptCount val="2"/>
              <c:pt idx="0">
                <c:v>1.2774003477855056</c:v>
              </c:pt>
              <c:pt idx="1">
                <c:v>1.5774003477855056</c:v>
              </c:pt>
            </c:numLit>
          </c:xVal>
          <c:yVal>
            <c:numLit>
              <c:formatCode>General</c:formatCode>
              <c:ptCount val="2"/>
              <c:pt idx="0">
                <c:v>1.1706457621934849E-2</c:v>
              </c:pt>
              <c:pt idx="1">
                <c:v>1.1592146420202697E-2</c:v>
              </c:pt>
            </c:numLit>
          </c:yVal>
          <c:smooth val="0"/>
          <c:extLst>
            <c:ext xmlns:c16="http://schemas.microsoft.com/office/drawing/2014/chart" uri="{C3380CC4-5D6E-409C-BE32-E72D297353CC}">
              <c16:uniqueId val="{00000035-2969-4762-BEA3-9E3C552460D5}"/>
            </c:ext>
          </c:extLst>
        </c:ser>
        <c:ser>
          <c:idx val="45"/>
          <c:order val="45"/>
          <c:tx>
            <c:v>h=33</c:v>
          </c:tx>
          <c:spPr>
            <a:ln w="3175">
              <a:solidFill>
                <a:srgbClr val="808080"/>
              </a:solidFill>
              <a:prstDash val="solid"/>
            </a:ln>
          </c:spPr>
          <c:marker>
            <c:symbol val="none"/>
          </c:marker>
          <c:xVal>
            <c:numLit>
              <c:formatCode>General</c:formatCode>
              <c:ptCount val="2"/>
              <c:pt idx="0">
                <c:v>1.5983312246019117</c:v>
              </c:pt>
              <c:pt idx="1">
                <c:v>1.8983312246019115</c:v>
              </c:pt>
            </c:numLit>
          </c:xVal>
          <c:yVal>
            <c:numLit>
              <c:formatCode>General</c:formatCode>
              <c:ptCount val="2"/>
              <c:pt idx="0">
                <c:v>1.1964538977669633E-2</c:v>
              </c:pt>
              <c:pt idx="1">
                <c:v>1.1850234170527886E-2</c:v>
              </c:pt>
            </c:numLit>
          </c:yVal>
          <c:smooth val="0"/>
          <c:extLst>
            <c:ext xmlns:c16="http://schemas.microsoft.com/office/drawing/2014/chart" uri="{C3380CC4-5D6E-409C-BE32-E72D297353CC}">
              <c16:uniqueId val="{00000036-2969-4762-BEA3-9E3C552460D5}"/>
            </c:ext>
          </c:extLst>
        </c:ser>
        <c:ser>
          <c:idx val="46"/>
          <c:order val="46"/>
          <c:tx>
            <c:v>h=34</c:v>
          </c:tx>
          <c:spPr>
            <a:ln w="3175">
              <a:solidFill>
                <a:srgbClr val="808080"/>
              </a:solidFill>
              <a:prstDash val="solid"/>
            </a:ln>
          </c:spPr>
          <c:marker>
            <c:symbol val="none"/>
          </c:marker>
          <c:xVal>
            <c:numLit>
              <c:formatCode>General</c:formatCode>
              <c:ptCount val="2"/>
              <c:pt idx="0">
                <c:v>1.9192621014183175</c:v>
              </c:pt>
              <c:pt idx="1">
                <c:v>2.2192621014183174</c:v>
              </c:pt>
            </c:numLit>
          </c:xVal>
          <c:yVal>
            <c:numLit>
              <c:formatCode>General</c:formatCode>
              <c:ptCount val="2"/>
              <c:pt idx="0">
                <c:v>1.2222620333404417E-2</c:v>
              </c:pt>
              <c:pt idx="1">
                <c:v>1.2108321650138049E-2</c:v>
              </c:pt>
            </c:numLit>
          </c:yVal>
          <c:smooth val="0"/>
          <c:extLst>
            <c:ext xmlns:c16="http://schemas.microsoft.com/office/drawing/2014/chart" uri="{C3380CC4-5D6E-409C-BE32-E72D297353CC}">
              <c16:uniqueId val="{00000037-2969-4762-BEA3-9E3C552460D5}"/>
            </c:ext>
          </c:extLst>
        </c:ser>
        <c:ser>
          <c:idx val="47"/>
          <c:order val="47"/>
          <c:tx>
            <c:v>h=35</c:v>
          </c:tx>
          <c:spPr>
            <a:ln w="3175">
              <a:solidFill>
                <a:srgbClr val="808080"/>
              </a:solidFill>
              <a:prstDash val="solid"/>
            </a:ln>
          </c:spPr>
          <c:marker>
            <c:symbol val="none"/>
          </c:marker>
          <c:dLbls>
            <c:dLbl>
              <c:idx val="0"/>
              <c:layout>
                <c:manualLayout>
                  <c:x val="-2.9887357830271216E-2"/>
                  <c:y val="-9.2193283531865431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2.2401929782347234</c:v>
              </c:pt>
              <c:pt idx="1">
                <c:v>35</c:v>
              </c:pt>
            </c:numLit>
          </c:xVal>
          <c:yVal>
            <c:numLit>
              <c:formatCode>General</c:formatCode>
              <c:ptCount val="2"/>
              <c:pt idx="0">
                <c:v>1.2480701689139201E-2</c:v>
              </c:pt>
              <c:pt idx="1">
                <c:v>0</c:v>
              </c:pt>
            </c:numLit>
          </c:yVal>
          <c:smooth val="0"/>
          <c:extLst>
            <c:ext xmlns:c16="http://schemas.microsoft.com/office/drawing/2014/chart" uri="{C3380CC4-5D6E-409C-BE32-E72D297353CC}">
              <c16:uniqueId val="{00000039-2969-4762-BEA3-9E3C552460D5}"/>
            </c:ext>
          </c:extLst>
        </c:ser>
        <c:ser>
          <c:idx val="48"/>
          <c:order val="48"/>
          <c:tx>
            <c:v>h=36</c:v>
          </c:tx>
          <c:spPr>
            <a:ln w="3175">
              <a:solidFill>
                <a:srgbClr val="808080"/>
              </a:solidFill>
              <a:prstDash val="solid"/>
            </a:ln>
          </c:spPr>
          <c:marker>
            <c:symbol val="none"/>
          </c:marker>
          <c:xVal>
            <c:numLit>
              <c:formatCode>General</c:formatCode>
              <c:ptCount val="2"/>
              <c:pt idx="0">
                <c:v>2.5611238550511297</c:v>
              </c:pt>
              <c:pt idx="1">
                <c:v>2.8611238550511295</c:v>
              </c:pt>
            </c:numLit>
          </c:xVal>
          <c:yVal>
            <c:numLit>
              <c:formatCode>General</c:formatCode>
              <c:ptCount val="2"/>
              <c:pt idx="0">
                <c:v>1.2738783044873983E-2</c:v>
              </c:pt>
              <c:pt idx="1">
                <c:v>1.262449586318473E-2</c:v>
              </c:pt>
            </c:numLit>
          </c:yVal>
          <c:smooth val="0"/>
          <c:extLst>
            <c:ext xmlns:c16="http://schemas.microsoft.com/office/drawing/2014/chart" uri="{C3380CC4-5D6E-409C-BE32-E72D297353CC}">
              <c16:uniqueId val="{0000003A-2969-4762-BEA3-9E3C552460D5}"/>
            </c:ext>
          </c:extLst>
        </c:ser>
        <c:ser>
          <c:idx val="49"/>
          <c:order val="49"/>
          <c:tx>
            <c:v>h=37</c:v>
          </c:tx>
          <c:spPr>
            <a:ln w="3175">
              <a:solidFill>
                <a:srgbClr val="808080"/>
              </a:solidFill>
              <a:prstDash val="solid"/>
            </a:ln>
          </c:spPr>
          <c:marker>
            <c:symbol val="none"/>
          </c:marker>
          <c:xVal>
            <c:numLit>
              <c:formatCode>General</c:formatCode>
              <c:ptCount val="2"/>
              <c:pt idx="0">
                <c:v>2.8820547318675356</c:v>
              </c:pt>
              <c:pt idx="1">
                <c:v>3.1820547318675354</c:v>
              </c:pt>
            </c:numLit>
          </c:xVal>
          <c:yVal>
            <c:numLit>
              <c:formatCode>General</c:formatCode>
              <c:ptCount val="2"/>
              <c:pt idx="0">
                <c:v>1.2996864400608767E-2</c:v>
              </c:pt>
              <c:pt idx="1">
                <c:v>1.2882582626324296E-2</c:v>
              </c:pt>
            </c:numLit>
          </c:yVal>
          <c:smooth val="0"/>
          <c:extLst>
            <c:ext xmlns:c16="http://schemas.microsoft.com/office/drawing/2014/chart" uri="{C3380CC4-5D6E-409C-BE32-E72D297353CC}">
              <c16:uniqueId val="{0000003B-2969-4762-BEA3-9E3C552460D5}"/>
            </c:ext>
          </c:extLst>
        </c:ser>
        <c:ser>
          <c:idx val="50"/>
          <c:order val="50"/>
          <c:tx>
            <c:v>h=38</c:v>
          </c:tx>
          <c:spPr>
            <a:ln w="3175">
              <a:solidFill>
                <a:srgbClr val="808080"/>
              </a:solidFill>
              <a:prstDash val="solid"/>
            </a:ln>
          </c:spPr>
          <c:marker>
            <c:symbol val="none"/>
          </c:marker>
          <c:xVal>
            <c:numLit>
              <c:formatCode>General</c:formatCode>
              <c:ptCount val="2"/>
              <c:pt idx="0">
                <c:v>3.2029856086839414</c:v>
              </c:pt>
              <c:pt idx="1">
                <c:v>3.5029856086839417</c:v>
              </c:pt>
            </c:numLit>
          </c:xVal>
          <c:yVal>
            <c:numLit>
              <c:formatCode>General</c:formatCode>
              <c:ptCount val="2"/>
              <c:pt idx="0">
                <c:v>1.3254945756343551E-2</c:v>
              </c:pt>
              <c:pt idx="1">
                <c:v>1.3140669178411181E-2</c:v>
              </c:pt>
            </c:numLit>
          </c:yVal>
          <c:smooth val="0"/>
          <c:extLst>
            <c:ext xmlns:c16="http://schemas.microsoft.com/office/drawing/2014/chart" uri="{C3380CC4-5D6E-409C-BE32-E72D297353CC}">
              <c16:uniqueId val="{0000003C-2969-4762-BEA3-9E3C552460D5}"/>
            </c:ext>
          </c:extLst>
        </c:ser>
        <c:ser>
          <c:idx val="51"/>
          <c:order val="51"/>
          <c:tx>
            <c:v>h=39</c:v>
          </c:tx>
          <c:spPr>
            <a:ln w="3175">
              <a:solidFill>
                <a:srgbClr val="808080"/>
              </a:solidFill>
              <a:prstDash val="solid"/>
            </a:ln>
          </c:spPr>
          <c:marker>
            <c:symbol val="none"/>
          </c:marker>
          <c:xVal>
            <c:numLit>
              <c:formatCode>General</c:formatCode>
              <c:ptCount val="2"/>
              <c:pt idx="0">
                <c:v>3.5239164855003473</c:v>
              </c:pt>
              <c:pt idx="1">
                <c:v>3.8239164855003476</c:v>
              </c:pt>
            </c:numLit>
          </c:xVal>
          <c:yVal>
            <c:numLit>
              <c:formatCode>General</c:formatCode>
              <c:ptCount val="2"/>
              <c:pt idx="0">
                <c:v>1.3513027112078335E-2</c:v>
              </c:pt>
              <c:pt idx="1">
                <c:v>1.339875553156504E-2</c:v>
              </c:pt>
            </c:numLit>
          </c:yVal>
          <c:smooth val="0"/>
          <c:extLst>
            <c:ext xmlns:c16="http://schemas.microsoft.com/office/drawing/2014/chart" uri="{C3380CC4-5D6E-409C-BE32-E72D297353CC}">
              <c16:uniqueId val="{0000003D-2969-4762-BEA3-9E3C552460D5}"/>
            </c:ext>
          </c:extLst>
        </c:ser>
        <c:ser>
          <c:idx val="52"/>
          <c:order val="52"/>
          <c:tx>
            <c:v>h=40</c:v>
          </c:tx>
          <c:spPr>
            <a:ln w="3175">
              <a:solidFill>
                <a:srgbClr val="808080"/>
              </a:solidFill>
              <a:prstDash val="solid"/>
            </a:ln>
          </c:spPr>
          <c:marker>
            <c:symbol val="none"/>
          </c:marker>
          <c:dLbls>
            <c:dLbl>
              <c:idx val="0"/>
              <c:layout>
                <c:manualLayout>
                  <c:x val="-2.9887357830271216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3.8448473623167536</c:v>
              </c:pt>
              <c:pt idx="1">
                <c:v>40</c:v>
              </c:pt>
            </c:numLit>
          </c:xVal>
          <c:yVal>
            <c:numLit>
              <c:formatCode>General</c:formatCode>
              <c:ptCount val="2"/>
              <c:pt idx="0">
                <c:v>1.3771108467813117E-2</c:v>
              </c:pt>
              <c:pt idx="1">
                <c:v>0</c:v>
              </c:pt>
            </c:numLit>
          </c:yVal>
          <c:smooth val="0"/>
          <c:extLst>
            <c:ext xmlns:c16="http://schemas.microsoft.com/office/drawing/2014/chart" uri="{C3380CC4-5D6E-409C-BE32-E72D297353CC}">
              <c16:uniqueId val="{0000003F-2969-4762-BEA3-9E3C552460D5}"/>
            </c:ext>
          </c:extLst>
        </c:ser>
        <c:ser>
          <c:idx val="53"/>
          <c:order val="53"/>
          <c:tx>
            <c:v>h=41</c:v>
          </c:tx>
          <c:spPr>
            <a:ln w="3175">
              <a:solidFill>
                <a:srgbClr val="808080"/>
              </a:solidFill>
              <a:prstDash val="solid"/>
            </a:ln>
          </c:spPr>
          <c:marker>
            <c:symbol val="none"/>
          </c:marker>
          <c:xVal>
            <c:numLit>
              <c:formatCode>General</c:formatCode>
              <c:ptCount val="2"/>
              <c:pt idx="0">
                <c:v>4.165778239133159</c:v>
              </c:pt>
              <c:pt idx="1">
                <c:v>4.4657782391331597</c:v>
              </c:pt>
            </c:numLit>
          </c:xVal>
          <c:yVal>
            <c:numLit>
              <c:formatCode>General</c:formatCode>
              <c:ptCount val="2"/>
              <c:pt idx="0">
                <c:v>1.4029189823547901E-2</c:v>
              </c:pt>
              <c:pt idx="1">
                <c:v>1.3914927685083615E-2</c:v>
              </c:pt>
            </c:numLit>
          </c:yVal>
          <c:smooth val="0"/>
          <c:extLst>
            <c:ext xmlns:c16="http://schemas.microsoft.com/office/drawing/2014/chart" uri="{C3380CC4-5D6E-409C-BE32-E72D297353CC}">
              <c16:uniqueId val="{00000040-2969-4762-BEA3-9E3C552460D5}"/>
            </c:ext>
          </c:extLst>
        </c:ser>
        <c:ser>
          <c:idx val="54"/>
          <c:order val="54"/>
          <c:tx>
            <c:v>h=42</c:v>
          </c:tx>
          <c:spPr>
            <a:ln w="3175">
              <a:solidFill>
                <a:srgbClr val="808080"/>
              </a:solidFill>
              <a:prstDash val="solid"/>
            </a:ln>
          </c:spPr>
          <c:marker>
            <c:symbol val="none"/>
          </c:marker>
          <c:xVal>
            <c:numLit>
              <c:formatCode>General</c:formatCode>
              <c:ptCount val="2"/>
              <c:pt idx="0">
                <c:v>4.4867091159495658</c:v>
              </c:pt>
              <c:pt idx="1">
                <c:v>4.7867091159495656</c:v>
              </c:pt>
            </c:numLit>
          </c:xVal>
          <c:yVal>
            <c:numLit>
              <c:formatCode>General</c:formatCode>
              <c:ptCount val="2"/>
              <c:pt idx="0">
                <c:v>1.4287271179282685E-2</c:v>
              </c:pt>
              <c:pt idx="1">
                <c:v>1.4173013505461613E-2</c:v>
              </c:pt>
            </c:numLit>
          </c:yVal>
          <c:smooth val="0"/>
          <c:extLst>
            <c:ext xmlns:c16="http://schemas.microsoft.com/office/drawing/2014/chart" uri="{C3380CC4-5D6E-409C-BE32-E72D297353CC}">
              <c16:uniqueId val="{00000041-2969-4762-BEA3-9E3C552460D5}"/>
            </c:ext>
          </c:extLst>
        </c:ser>
        <c:ser>
          <c:idx val="55"/>
          <c:order val="55"/>
          <c:tx>
            <c:v>h=43</c:v>
          </c:tx>
          <c:spPr>
            <a:ln w="3175">
              <a:solidFill>
                <a:srgbClr val="808080"/>
              </a:solidFill>
              <a:prstDash val="solid"/>
            </a:ln>
          </c:spPr>
          <c:marker>
            <c:symbol val="none"/>
          </c:marker>
          <c:xVal>
            <c:numLit>
              <c:formatCode>General</c:formatCode>
              <c:ptCount val="2"/>
              <c:pt idx="0">
                <c:v>4.8076399927659716</c:v>
              </c:pt>
              <c:pt idx="1">
                <c:v>5.1076399927659715</c:v>
              </c:pt>
            </c:numLit>
          </c:xVal>
          <c:yVal>
            <c:numLit>
              <c:formatCode>General</c:formatCode>
              <c:ptCount val="2"/>
              <c:pt idx="0">
                <c:v>1.4545352535017469E-2</c:v>
              </c:pt>
              <c:pt idx="1">
                <c:v>1.4431099167074803E-2</c:v>
              </c:pt>
            </c:numLit>
          </c:yVal>
          <c:smooth val="0"/>
          <c:extLst>
            <c:ext xmlns:c16="http://schemas.microsoft.com/office/drawing/2014/chart" uri="{C3380CC4-5D6E-409C-BE32-E72D297353CC}">
              <c16:uniqueId val="{00000042-2969-4762-BEA3-9E3C552460D5}"/>
            </c:ext>
          </c:extLst>
        </c:ser>
        <c:ser>
          <c:idx val="56"/>
          <c:order val="56"/>
          <c:tx>
            <c:v>h=44</c:v>
          </c:tx>
          <c:spPr>
            <a:ln w="3175">
              <a:solidFill>
                <a:srgbClr val="808080"/>
              </a:solidFill>
              <a:prstDash val="solid"/>
            </a:ln>
          </c:spPr>
          <c:marker>
            <c:symbol val="none"/>
          </c:marker>
          <c:xVal>
            <c:numLit>
              <c:formatCode>General</c:formatCode>
              <c:ptCount val="2"/>
              <c:pt idx="0">
                <c:v>5.1285708695823775</c:v>
              </c:pt>
              <c:pt idx="1">
                <c:v>5.4285708695823773</c:v>
              </c:pt>
            </c:numLit>
          </c:xVal>
          <c:yVal>
            <c:numLit>
              <c:formatCode>General</c:formatCode>
              <c:ptCount val="2"/>
              <c:pt idx="0">
                <c:v>1.4803433890752251E-2</c:v>
              </c:pt>
              <c:pt idx="1">
                <c:v>1.4689184678243867E-2</c:v>
              </c:pt>
            </c:numLit>
          </c:yVal>
          <c:smooth val="0"/>
          <c:extLst>
            <c:ext xmlns:c16="http://schemas.microsoft.com/office/drawing/2014/chart" uri="{C3380CC4-5D6E-409C-BE32-E72D297353CC}">
              <c16:uniqueId val="{00000043-2969-4762-BEA3-9E3C552460D5}"/>
            </c:ext>
          </c:extLst>
        </c:ser>
        <c:ser>
          <c:idx val="57"/>
          <c:order val="57"/>
          <c:tx>
            <c:v>h=45</c:v>
          </c:tx>
          <c:spPr>
            <a:ln w="3175">
              <a:solidFill>
                <a:srgbClr val="808080"/>
              </a:solidFill>
              <a:prstDash val="solid"/>
            </a:ln>
          </c:spPr>
          <c:marker>
            <c:symbol val="none"/>
          </c:marker>
          <c:dLbls>
            <c:dLbl>
              <c:idx val="0"/>
              <c:layout>
                <c:manualLayout>
                  <c:x val="-2.9887357830271216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5.4495017463987834</c:v>
              </c:pt>
              <c:pt idx="1">
                <c:v>45</c:v>
              </c:pt>
            </c:numLit>
          </c:xVal>
          <c:yVal>
            <c:numLit>
              <c:formatCode>General</c:formatCode>
              <c:ptCount val="2"/>
              <c:pt idx="0">
                <c:v>1.5061515246487035E-2</c:v>
              </c:pt>
              <c:pt idx="1">
                <c:v>0</c:v>
              </c:pt>
            </c:numLit>
          </c:yVal>
          <c:smooth val="0"/>
          <c:extLst>
            <c:ext xmlns:c16="http://schemas.microsoft.com/office/drawing/2014/chart" uri="{C3380CC4-5D6E-409C-BE32-E72D297353CC}">
              <c16:uniqueId val="{00000045-2969-4762-BEA3-9E3C552460D5}"/>
            </c:ext>
          </c:extLst>
        </c:ser>
        <c:ser>
          <c:idx val="58"/>
          <c:order val="58"/>
          <c:tx>
            <c:v>h=46</c:v>
          </c:tx>
          <c:spPr>
            <a:ln w="3175">
              <a:solidFill>
                <a:srgbClr val="808080"/>
              </a:solidFill>
              <a:prstDash val="solid"/>
            </a:ln>
          </c:spPr>
          <c:marker>
            <c:symbol val="none"/>
          </c:marker>
          <c:xVal>
            <c:numLit>
              <c:formatCode>General</c:formatCode>
              <c:ptCount val="2"/>
              <c:pt idx="0">
                <c:v>5.7704326232151892</c:v>
              </c:pt>
              <c:pt idx="1">
                <c:v>6.0704326232151891</c:v>
              </c:pt>
            </c:numLit>
          </c:xVal>
          <c:yVal>
            <c:numLit>
              <c:formatCode>General</c:formatCode>
              <c:ptCount val="2"/>
              <c:pt idx="0">
                <c:v>1.5319596602221819E-2</c:v>
              </c:pt>
              <c:pt idx="1">
                <c:v>1.5205355279723316E-2</c:v>
              </c:pt>
            </c:numLit>
          </c:yVal>
          <c:smooth val="0"/>
          <c:extLst>
            <c:ext xmlns:c16="http://schemas.microsoft.com/office/drawing/2014/chart" uri="{C3380CC4-5D6E-409C-BE32-E72D297353CC}">
              <c16:uniqueId val="{00000046-2969-4762-BEA3-9E3C552460D5}"/>
            </c:ext>
          </c:extLst>
        </c:ser>
        <c:ser>
          <c:idx val="59"/>
          <c:order val="59"/>
          <c:tx>
            <c:v>h=47</c:v>
          </c:tx>
          <c:spPr>
            <a:ln w="3175">
              <a:solidFill>
                <a:srgbClr val="808080"/>
              </a:solidFill>
              <a:prstDash val="solid"/>
            </a:ln>
          </c:spPr>
          <c:marker>
            <c:symbol val="none"/>
          </c:marker>
          <c:xVal>
            <c:numLit>
              <c:formatCode>General</c:formatCode>
              <c:ptCount val="2"/>
              <c:pt idx="0">
                <c:v>6.0913635000315951</c:v>
              </c:pt>
              <c:pt idx="1">
                <c:v>6.3913635000315949</c:v>
              </c:pt>
            </c:numLit>
          </c:xVal>
          <c:yVal>
            <c:numLit>
              <c:formatCode>General</c:formatCode>
              <c:ptCount val="2"/>
              <c:pt idx="0">
                <c:v>1.5577677957956603E-2</c:v>
              </c:pt>
              <c:pt idx="1">
                <c:v>1.5463440384005914E-2</c:v>
              </c:pt>
            </c:numLit>
          </c:yVal>
          <c:smooth val="0"/>
          <c:extLst>
            <c:ext xmlns:c16="http://schemas.microsoft.com/office/drawing/2014/chart" uri="{C3380CC4-5D6E-409C-BE32-E72D297353CC}">
              <c16:uniqueId val="{00000047-2969-4762-BEA3-9E3C552460D5}"/>
            </c:ext>
          </c:extLst>
        </c:ser>
        <c:ser>
          <c:idx val="60"/>
          <c:order val="60"/>
          <c:tx>
            <c:v>h=48</c:v>
          </c:tx>
          <c:spPr>
            <a:ln w="3175">
              <a:solidFill>
                <a:srgbClr val="808080"/>
              </a:solidFill>
              <a:prstDash val="solid"/>
            </a:ln>
          </c:spPr>
          <c:marker>
            <c:symbol val="none"/>
          </c:marker>
          <c:xVal>
            <c:numLit>
              <c:formatCode>General</c:formatCode>
              <c:ptCount val="2"/>
              <c:pt idx="0">
                <c:v>6.412294376848001</c:v>
              </c:pt>
              <c:pt idx="1">
                <c:v>6.7122943768480017</c:v>
              </c:pt>
            </c:numLit>
          </c:xVal>
          <c:yVal>
            <c:numLit>
              <c:formatCode>General</c:formatCode>
              <c:ptCount val="2"/>
              <c:pt idx="0">
                <c:v>1.5835759313691387E-2</c:v>
              </c:pt>
              <c:pt idx="1">
                <c:v>1.5721525365871417E-2</c:v>
              </c:pt>
            </c:numLit>
          </c:yVal>
          <c:smooth val="0"/>
          <c:extLst>
            <c:ext xmlns:c16="http://schemas.microsoft.com/office/drawing/2014/chart" uri="{C3380CC4-5D6E-409C-BE32-E72D297353CC}">
              <c16:uniqueId val="{00000048-2969-4762-BEA3-9E3C552460D5}"/>
            </c:ext>
          </c:extLst>
        </c:ser>
        <c:ser>
          <c:idx val="61"/>
          <c:order val="61"/>
          <c:tx>
            <c:v>h=49</c:v>
          </c:tx>
          <c:spPr>
            <a:ln w="3175">
              <a:solidFill>
                <a:srgbClr val="808080"/>
              </a:solidFill>
              <a:prstDash val="solid"/>
            </a:ln>
          </c:spPr>
          <c:marker>
            <c:symbol val="none"/>
          </c:marker>
          <c:xVal>
            <c:numLit>
              <c:formatCode>General</c:formatCode>
              <c:ptCount val="2"/>
              <c:pt idx="0">
                <c:v>6.7332252536644077</c:v>
              </c:pt>
              <c:pt idx="1">
                <c:v>7.0332252536644075</c:v>
              </c:pt>
            </c:numLit>
          </c:xVal>
          <c:yVal>
            <c:numLit>
              <c:formatCode>General</c:formatCode>
              <c:ptCount val="2"/>
              <c:pt idx="0">
                <c:v>1.6093840669426169E-2</c:v>
              </c:pt>
              <c:pt idx="1">
                <c:v>1.5979610231220177E-2</c:v>
              </c:pt>
            </c:numLit>
          </c:yVal>
          <c:smooth val="0"/>
          <c:extLst>
            <c:ext xmlns:c16="http://schemas.microsoft.com/office/drawing/2014/chart" uri="{C3380CC4-5D6E-409C-BE32-E72D297353CC}">
              <c16:uniqueId val="{00000049-2969-4762-BEA3-9E3C552460D5}"/>
            </c:ext>
          </c:extLst>
        </c:ser>
        <c:ser>
          <c:idx val="62"/>
          <c:order val="62"/>
          <c:tx>
            <c:v>h=50</c:v>
          </c:tx>
          <c:spPr>
            <a:ln w="3175">
              <a:solidFill>
                <a:srgbClr val="808080"/>
              </a:solidFill>
              <a:prstDash val="solid"/>
            </a:ln>
          </c:spPr>
          <c:marker>
            <c:symbol val="none"/>
          </c:marker>
          <c:dLbls>
            <c:dLbl>
              <c:idx val="0"/>
              <c:layout>
                <c:manualLayout>
                  <c:x val="-2.9887357830271216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7.0541561304808136</c:v>
              </c:pt>
              <c:pt idx="1">
                <c:v>50</c:v>
              </c:pt>
            </c:numLit>
          </c:xVal>
          <c:yVal>
            <c:numLit>
              <c:formatCode>General</c:formatCode>
              <c:ptCount val="2"/>
              <c:pt idx="0">
                <c:v>1.6351922025160951E-2</c:v>
              </c:pt>
              <c:pt idx="1">
                <c:v>0</c:v>
              </c:pt>
            </c:numLit>
          </c:yVal>
          <c:smooth val="0"/>
          <c:extLst>
            <c:ext xmlns:c16="http://schemas.microsoft.com/office/drawing/2014/chart" uri="{C3380CC4-5D6E-409C-BE32-E72D297353CC}">
              <c16:uniqueId val="{0000004B-2969-4762-BEA3-9E3C552460D5}"/>
            </c:ext>
          </c:extLst>
        </c:ser>
        <c:ser>
          <c:idx val="63"/>
          <c:order val="63"/>
          <c:tx>
            <c:v>h=51</c:v>
          </c:tx>
          <c:spPr>
            <a:ln w="3175">
              <a:solidFill>
                <a:srgbClr val="808080"/>
              </a:solidFill>
              <a:prstDash val="solid"/>
            </a:ln>
          </c:spPr>
          <c:marker>
            <c:symbol val="none"/>
          </c:marker>
          <c:xVal>
            <c:numLit>
              <c:formatCode>General</c:formatCode>
              <c:ptCount val="2"/>
              <c:pt idx="0">
                <c:v>7.3750870072972194</c:v>
              </c:pt>
              <c:pt idx="1">
                <c:v>7.6750870072972193</c:v>
              </c:pt>
            </c:numLit>
          </c:xVal>
          <c:yVal>
            <c:numLit>
              <c:formatCode>General</c:formatCode>
              <c:ptCount val="2"/>
              <c:pt idx="0">
                <c:v>1.6610003380895737E-2</c:v>
              </c:pt>
              <c:pt idx="1">
                <c:v>1.6495779634131996E-2</c:v>
              </c:pt>
            </c:numLit>
          </c:yVal>
          <c:smooth val="0"/>
          <c:extLst>
            <c:ext xmlns:c16="http://schemas.microsoft.com/office/drawing/2014/chart" uri="{C3380CC4-5D6E-409C-BE32-E72D297353CC}">
              <c16:uniqueId val="{0000004C-2969-4762-BEA3-9E3C552460D5}"/>
            </c:ext>
          </c:extLst>
        </c:ser>
        <c:ser>
          <c:idx val="64"/>
          <c:order val="64"/>
          <c:tx>
            <c:v>h=52</c:v>
          </c:tx>
          <c:spPr>
            <a:ln w="3175">
              <a:solidFill>
                <a:srgbClr val="808080"/>
              </a:solidFill>
              <a:prstDash val="solid"/>
            </a:ln>
          </c:spPr>
          <c:marker>
            <c:symbol val="none"/>
          </c:marker>
          <c:xVal>
            <c:numLit>
              <c:formatCode>General</c:formatCode>
              <c:ptCount val="2"/>
              <c:pt idx="0">
                <c:v>7.6960178841136253</c:v>
              </c:pt>
              <c:pt idx="1">
                <c:v>7.9960178841136251</c:v>
              </c:pt>
            </c:numLit>
          </c:xVal>
          <c:yVal>
            <c:numLit>
              <c:formatCode>General</c:formatCode>
              <c:ptCount val="2"/>
              <c:pt idx="0">
                <c:v>1.6868084736630519E-2</c:v>
              </c:pt>
              <c:pt idx="1">
                <c:v>1.6753864181743319E-2</c:v>
              </c:pt>
            </c:numLit>
          </c:yVal>
          <c:smooth val="0"/>
          <c:extLst>
            <c:ext xmlns:c16="http://schemas.microsoft.com/office/drawing/2014/chart" uri="{C3380CC4-5D6E-409C-BE32-E72D297353CC}">
              <c16:uniqueId val="{0000004D-2969-4762-BEA3-9E3C552460D5}"/>
            </c:ext>
          </c:extLst>
        </c:ser>
        <c:ser>
          <c:idx val="65"/>
          <c:order val="65"/>
          <c:tx>
            <c:v>h=53</c:v>
          </c:tx>
          <c:spPr>
            <a:ln w="3175">
              <a:solidFill>
                <a:srgbClr val="808080"/>
              </a:solidFill>
              <a:prstDash val="solid"/>
            </a:ln>
          </c:spPr>
          <c:marker>
            <c:symbol val="none"/>
          </c:marker>
          <c:xVal>
            <c:numLit>
              <c:formatCode>General</c:formatCode>
              <c:ptCount val="2"/>
              <c:pt idx="0">
                <c:v>8.0169487609300312</c:v>
              </c:pt>
              <c:pt idx="1">
                <c:v>8.3169487609300319</c:v>
              </c:pt>
            </c:numLit>
          </c:xVal>
          <c:yVal>
            <c:numLit>
              <c:formatCode>General</c:formatCode>
              <c:ptCount val="2"/>
              <c:pt idx="0">
                <c:v>1.7126166092365305E-2</c:v>
              </c:pt>
              <c:pt idx="1">
                <c:v>1.7011948632984802E-2</c:v>
              </c:pt>
            </c:numLit>
          </c:yVal>
          <c:smooth val="0"/>
          <c:extLst>
            <c:ext xmlns:c16="http://schemas.microsoft.com/office/drawing/2014/chart" uri="{C3380CC4-5D6E-409C-BE32-E72D297353CC}">
              <c16:uniqueId val="{0000004E-2969-4762-BEA3-9E3C552460D5}"/>
            </c:ext>
          </c:extLst>
        </c:ser>
        <c:ser>
          <c:idx val="66"/>
          <c:order val="66"/>
          <c:tx>
            <c:v>h=54</c:v>
          </c:tx>
          <c:spPr>
            <a:ln w="3175">
              <a:solidFill>
                <a:srgbClr val="808080"/>
              </a:solidFill>
              <a:prstDash val="solid"/>
            </a:ln>
          </c:spPr>
          <c:marker>
            <c:symbol val="none"/>
          </c:marker>
          <c:xVal>
            <c:numLit>
              <c:formatCode>General</c:formatCode>
              <c:ptCount val="2"/>
              <c:pt idx="0">
                <c:v>8.3378796377464379</c:v>
              </c:pt>
              <c:pt idx="1">
                <c:v>8.6378796377464369</c:v>
              </c:pt>
            </c:numLit>
          </c:xVal>
          <c:yVal>
            <c:numLit>
              <c:formatCode>General</c:formatCode>
              <c:ptCount val="2"/>
              <c:pt idx="0">
                <c:v>1.7384247448100087E-2</c:v>
              </c:pt>
              <c:pt idx="1">
                <c:v>1.7270032992155959E-2</c:v>
              </c:pt>
            </c:numLit>
          </c:yVal>
          <c:smooth val="0"/>
          <c:extLst>
            <c:ext xmlns:c16="http://schemas.microsoft.com/office/drawing/2014/chart" uri="{C3380CC4-5D6E-409C-BE32-E72D297353CC}">
              <c16:uniqueId val="{0000004F-2969-4762-BEA3-9E3C552460D5}"/>
            </c:ext>
          </c:extLst>
        </c:ser>
        <c:ser>
          <c:idx val="67"/>
          <c:order val="67"/>
          <c:tx>
            <c:v>h=55</c:v>
          </c:tx>
          <c:spPr>
            <a:ln w="3175">
              <a:solidFill>
                <a:srgbClr val="808080"/>
              </a:solidFill>
              <a:prstDash val="solid"/>
            </a:ln>
          </c:spPr>
          <c:marker>
            <c:symbol val="none"/>
          </c:marker>
          <c:dLbls>
            <c:dLbl>
              <c:idx val="0"/>
              <c:layout>
                <c:manualLayout>
                  <c:x val="-2.9887357830271247E-2"/>
                  <c:y val="-9.219328353186699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8.6588105145628429</c:v>
              </c:pt>
              <c:pt idx="1">
                <c:v>55</c:v>
              </c:pt>
            </c:numLit>
          </c:xVal>
          <c:yVal>
            <c:numLit>
              <c:formatCode>General</c:formatCode>
              <c:ptCount val="2"/>
              <c:pt idx="0">
                <c:v>1.7642328803834869E-2</c:v>
              </c:pt>
              <c:pt idx="1">
                <c:v>0</c:v>
              </c:pt>
            </c:numLit>
          </c:yVal>
          <c:smooth val="0"/>
          <c:extLst>
            <c:ext xmlns:c16="http://schemas.microsoft.com/office/drawing/2014/chart" uri="{C3380CC4-5D6E-409C-BE32-E72D297353CC}">
              <c16:uniqueId val="{00000051-2969-4762-BEA3-9E3C552460D5}"/>
            </c:ext>
          </c:extLst>
        </c:ser>
        <c:ser>
          <c:idx val="68"/>
          <c:order val="68"/>
          <c:tx>
            <c:v>h=56</c:v>
          </c:tx>
          <c:spPr>
            <a:ln w="3175">
              <a:solidFill>
                <a:srgbClr val="808080"/>
              </a:solidFill>
              <a:prstDash val="solid"/>
            </a:ln>
          </c:spPr>
          <c:marker>
            <c:symbol val="none"/>
          </c:marker>
          <c:xVal>
            <c:numLit>
              <c:formatCode>General</c:formatCode>
              <c:ptCount val="2"/>
              <c:pt idx="0">
                <c:v>8.9797413913792496</c:v>
              </c:pt>
              <c:pt idx="1">
                <c:v>9.2797413913792486</c:v>
              </c:pt>
            </c:numLit>
          </c:xVal>
          <c:yVal>
            <c:numLit>
              <c:formatCode>General</c:formatCode>
              <c:ptCount val="2"/>
              <c:pt idx="0">
                <c:v>1.7900410159569655E-2</c:v>
              </c:pt>
              <c:pt idx="1">
                <c:v>1.7786201450243535E-2</c:v>
              </c:pt>
            </c:numLit>
          </c:yVal>
          <c:smooth val="0"/>
          <c:extLst>
            <c:ext xmlns:c16="http://schemas.microsoft.com/office/drawing/2014/chart" uri="{C3380CC4-5D6E-409C-BE32-E72D297353CC}">
              <c16:uniqueId val="{00000052-2969-4762-BEA3-9E3C552460D5}"/>
            </c:ext>
          </c:extLst>
        </c:ser>
        <c:ser>
          <c:idx val="69"/>
          <c:order val="69"/>
          <c:tx>
            <c:v>h=57</c:v>
          </c:tx>
          <c:spPr>
            <a:ln w="3175">
              <a:solidFill>
                <a:srgbClr val="808080"/>
              </a:solidFill>
              <a:prstDash val="solid"/>
            </a:ln>
          </c:spPr>
          <c:marker>
            <c:symbol val="none"/>
          </c:marker>
          <c:xVal>
            <c:numLit>
              <c:formatCode>General</c:formatCode>
              <c:ptCount val="2"/>
              <c:pt idx="0">
                <c:v>9.3006722681956546</c:v>
              </c:pt>
              <c:pt idx="1">
                <c:v>9.6006722681956553</c:v>
              </c:pt>
            </c:numLit>
          </c:xVal>
          <c:yVal>
            <c:numLit>
              <c:formatCode>General</c:formatCode>
              <c:ptCount val="2"/>
              <c:pt idx="0">
                <c:v>1.8158491515304437E-2</c:v>
              </c:pt>
              <c:pt idx="1">
                <c:v>1.8044285556570158E-2</c:v>
              </c:pt>
            </c:numLit>
          </c:yVal>
          <c:smooth val="0"/>
          <c:extLst>
            <c:ext xmlns:c16="http://schemas.microsoft.com/office/drawing/2014/chart" uri="{C3380CC4-5D6E-409C-BE32-E72D297353CC}">
              <c16:uniqueId val="{00000053-2969-4762-BEA3-9E3C552460D5}"/>
            </c:ext>
          </c:extLst>
        </c:ser>
        <c:ser>
          <c:idx val="70"/>
          <c:order val="70"/>
          <c:tx>
            <c:v>h=58</c:v>
          </c:tx>
          <c:spPr>
            <a:ln w="3175">
              <a:solidFill>
                <a:srgbClr val="808080"/>
              </a:solidFill>
              <a:prstDash val="solid"/>
            </a:ln>
          </c:spPr>
          <c:marker>
            <c:symbol val="none"/>
          </c:marker>
          <c:xVal>
            <c:numLit>
              <c:formatCode>General</c:formatCode>
              <c:ptCount val="2"/>
              <c:pt idx="0">
                <c:v>9.6216031450120614</c:v>
              </c:pt>
              <c:pt idx="1">
                <c:v>9.9216031450120603</c:v>
              </c:pt>
            </c:numLit>
          </c:xVal>
          <c:yVal>
            <c:numLit>
              <c:formatCode>General</c:formatCode>
              <c:ptCount val="2"/>
              <c:pt idx="0">
                <c:v>1.8416572871039219E-2</c:v>
              </c:pt>
              <c:pt idx="1">
                <c:v>1.8302369585678758E-2</c:v>
              </c:pt>
            </c:numLit>
          </c:yVal>
          <c:smooth val="0"/>
          <c:extLst>
            <c:ext xmlns:c16="http://schemas.microsoft.com/office/drawing/2014/chart" uri="{C3380CC4-5D6E-409C-BE32-E72D297353CC}">
              <c16:uniqueId val="{00000054-2969-4762-BEA3-9E3C552460D5}"/>
            </c:ext>
          </c:extLst>
        </c:ser>
        <c:ser>
          <c:idx val="71"/>
          <c:order val="71"/>
          <c:tx>
            <c:v>h=59</c:v>
          </c:tx>
          <c:spPr>
            <a:ln w="3175">
              <a:solidFill>
                <a:srgbClr val="808080"/>
              </a:solidFill>
              <a:prstDash val="solid"/>
            </a:ln>
          </c:spPr>
          <c:marker>
            <c:symbol val="none"/>
          </c:marker>
          <c:xVal>
            <c:numLit>
              <c:formatCode>General</c:formatCode>
              <c:ptCount val="2"/>
              <c:pt idx="0">
                <c:v>9.9425340218284664</c:v>
              </c:pt>
              <c:pt idx="1">
                <c:v>10.242534021828467</c:v>
              </c:pt>
            </c:numLit>
          </c:xVal>
          <c:yVal>
            <c:numLit>
              <c:formatCode>General</c:formatCode>
              <c:ptCount val="2"/>
              <c:pt idx="0">
                <c:v>1.8674654226774005E-2</c:v>
              </c:pt>
              <c:pt idx="1">
                <c:v>1.8560453540775974E-2</c:v>
              </c:pt>
            </c:numLit>
          </c:yVal>
          <c:smooth val="0"/>
          <c:extLst>
            <c:ext xmlns:c16="http://schemas.microsoft.com/office/drawing/2014/chart" uri="{C3380CC4-5D6E-409C-BE32-E72D297353CC}">
              <c16:uniqueId val="{00000055-2969-4762-BEA3-9E3C552460D5}"/>
            </c:ext>
          </c:extLst>
        </c:ser>
        <c:ser>
          <c:idx val="72"/>
          <c:order val="72"/>
          <c:tx>
            <c:v>h=60</c:v>
          </c:tx>
          <c:spPr>
            <a:ln w="3175">
              <a:solidFill>
                <a:srgbClr val="808080"/>
              </a:solidFill>
              <a:prstDash val="solid"/>
            </a:ln>
          </c:spPr>
          <c:marker>
            <c:symbol val="none"/>
          </c:marker>
          <c:dLbls>
            <c:dLbl>
              <c:idx val="0"/>
              <c:layout>
                <c:manualLayout>
                  <c:x val="-2.9887357830271247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10.263464898644873</c:v>
              </c:pt>
              <c:pt idx="1">
                <c:v>60</c:v>
              </c:pt>
            </c:numLit>
          </c:xVal>
          <c:yVal>
            <c:numLit>
              <c:formatCode>General</c:formatCode>
              <c:ptCount val="2"/>
              <c:pt idx="0">
                <c:v>1.8932735582508787E-2</c:v>
              </c:pt>
              <c:pt idx="1">
                <c:v>0</c:v>
              </c:pt>
            </c:numLit>
          </c:yVal>
          <c:smooth val="0"/>
          <c:extLst>
            <c:ext xmlns:c16="http://schemas.microsoft.com/office/drawing/2014/chart" uri="{C3380CC4-5D6E-409C-BE32-E72D297353CC}">
              <c16:uniqueId val="{00000057-2969-4762-BEA3-9E3C552460D5}"/>
            </c:ext>
          </c:extLst>
        </c:ser>
        <c:ser>
          <c:idx val="73"/>
          <c:order val="73"/>
          <c:tx>
            <c:v>h=61</c:v>
          </c:tx>
          <c:spPr>
            <a:ln w="3175">
              <a:solidFill>
                <a:srgbClr val="808080"/>
              </a:solidFill>
              <a:prstDash val="solid"/>
            </a:ln>
          </c:spPr>
          <c:marker>
            <c:symbol val="none"/>
          </c:marker>
          <c:xVal>
            <c:numLit>
              <c:formatCode>General</c:formatCode>
              <c:ptCount val="2"/>
              <c:pt idx="0">
                <c:v>10.58439577546128</c:v>
              </c:pt>
              <c:pt idx="1">
                <c:v>10.884395775461279</c:v>
              </c:pt>
            </c:numLit>
          </c:xVal>
          <c:yVal>
            <c:numLit>
              <c:formatCode>General</c:formatCode>
              <c:ptCount val="2"/>
              <c:pt idx="0">
                <c:v>1.9190816938243573E-2</c:v>
              </c:pt>
              <c:pt idx="1">
                <c:v>1.9076621240898924E-2</c:v>
              </c:pt>
            </c:numLit>
          </c:yVal>
          <c:smooth val="0"/>
          <c:extLst>
            <c:ext xmlns:c16="http://schemas.microsoft.com/office/drawing/2014/chart" uri="{C3380CC4-5D6E-409C-BE32-E72D297353CC}">
              <c16:uniqueId val="{00000058-2969-4762-BEA3-9E3C552460D5}"/>
            </c:ext>
          </c:extLst>
        </c:ser>
        <c:ser>
          <c:idx val="74"/>
          <c:order val="74"/>
          <c:tx>
            <c:v>h=62</c:v>
          </c:tx>
          <c:spPr>
            <a:ln w="3175">
              <a:solidFill>
                <a:srgbClr val="808080"/>
              </a:solidFill>
              <a:prstDash val="solid"/>
            </a:ln>
          </c:spPr>
          <c:marker>
            <c:symbol val="none"/>
          </c:marker>
          <c:xVal>
            <c:numLit>
              <c:formatCode>General</c:formatCode>
              <c:ptCount val="2"/>
              <c:pt idx="0">
                <c:v>10.905326652277685</c:v>
              </c:pt>
              <c:pt idx="1">
                <c:v>11.205326652277686</c:v>
              </c:pt>
            </c:numLit>
          </c:xVal>
          <c:yVal>
            <c:numLit>
              <c:formatCode>General</c:formatCode>
              <c:ptCount val="2"/>
              <c:pt idx="0">
                <c:v>1.9448898293978355E-2</c:v>
              </c:pt>
              <c:pt idx="1">
                <c:v>1.9334704991508526E-2</c:v>
              </c:pt>
            </c:numLit>
          </c:yVal>
          <c:smooth val="0"/>
          <c:extLst>
            <c:ext xmlns:c16="http://schemas.microsoft.com/office/drawing/2014/chart" uri="{C3380CC4-5D6E-409C-BE32-E72D297353CC}">
              <c16:uniqueId val="{00000059-2969-4762-BEA3-9E3C552460D5}"/>
            </c:ext>
          </c:extLst>
        </c:ser>
        <c:ser>
          <c:idx val="75"/>
          <c:order val="75"/>
          <c:tx>
            <c:v>h=63</c:v>
          </c:tx>
          <c:spPr>
            <a:ln w="3175">
              <a:solidFill>
                <a:srgbClr val="808080"/>
              </a:solidFill>
              <a:prstDash val="solid"/>
            </a:ln>
          </c:spPr>
          <c:marker>
            <c:symbol val="none"/>
          </c:marker>
          <c:xVal>
            <c:numLit>
              <c:formatCode>General</c:formatCode>
              <c:ptCount val="2"/>
              <c:pt idx="0">
                <c:v>11.226257529094092</c:v>
              </c:pt>
              <c:pt idx="1">
                <c:v>11.526257529094091</c:v>
              </c:pt>
            </c:numLit>
          </c:xVal>
          <c:yVal>
            <c:numLit>
              <c:formatCode>General</c:formatCode>
              <c:ptCount val="2"/>
              <c:pt idx="0">
                <c:v>1.9706979649713137E-2</c:v>
              </c:pt>
              <c:pt idx="1">
                <c:v>1.9592788679295339E-2</c:v>
              </c:pt>
            </c:numLit>
          </c:yVal>
          <c:smooth val="0"/>
          <c:extLst>
            <c:ext xmlns:c16="http://schemas.microsoft.com/office/drawing/2014/chart" uri="{C3380CC4-5D6E-409C-BE32-E72D297353CC}">
              <c16:uniqueId val="{0000005A-2969-4762-BEA3-9E3C552460D5}"/>
            </c:ext>
          </c:extLst>
        </c:ser>
        <c:ser>
          <c:idx val="76"/>
          <c:order val="76"/>
          <c:tx>
            <c:v>h=64</c:v>
          </c:tx>
          <c:spPr>
            <a:ln w="3175">
              <a:solidFill>
                <a:srgbClr val="808080"/>
              </a:solidFill>
              <a:prstDash val="solid"/>
            </a:ln>
          </c:spPr>
          <c:marker>
            <c:symbol val="none"/>
          </c:marker>
          <c:xVal>
            <c:numLit>
              <c:formatCode>General</c:formatCode>
              <c:ptCount val="2"/>
              <c:pt idx="0">
                <c:v>11.547188405910497</c:v>
              </c:pt>
              <c:pt idx="1">
                <c:v>11.847188405910497</c:v>
              </c:pt>
            </c:numLit>
          </c:xVal>
          <c:yVal>
            <c:numLit>
              <c:formatCode>General</c:formatCode>
              <c:ptCount val="2"/>
              <c:pt idx="0">
                <c:v>1.9965061005447923E-2</c:v>
              </c:pt>
              <c:pt idx="1">
                <c:v>1.9850872306699328E-2</c:v>
              </c:pt>
            </c:numLit>
          </c:yVal>
          <c:smooth val="0"/>
          <c:extLst>
            <c:ext xmlns:c16="http://schemas.microsoft.com/office/drawing/2014/chart" uri="{C3380CC4-5D6E-409C-BE32-E72D297353CC}">
              <c16:uniqueId val="{0000005B-2969-4762-BEA3-9E3C552460D5}"/>
            </c:ext>
          </c:extLst>
        </c:ser>
        <c:ser>
          <c:idx val="77"/>
          <c:order val="77"/>
          <c:tx>
            <c:v>h=65</c:v>
          </c:tx>
          <c:spPr>
            <a:ln w="3175">
              <a:solidFill>
                <a:srgbClr val="808080"/>
              </a:solidFill>
              <a:prstDash val="solid"/>
            </a:ln>
          </c:spPr>
          <c:marker>
            <c:symbol val="none"/>
          </c:marker>
          <c:dLbls>
            <c:dLbl>
              <c:idx val="0"/>
              <c:layout>
                <c:manualLayout>
                  <c:x val="-2.9887357830271216E-2"/>
                  <c:y val="-9.219328353186699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11.868119282726903</c:v>
              </c:pt>
              <c:pt idx="1">
                <c:v>65</c:v>
              </c:pt>
            </c:numLit>
          </c:xVal>
          <c:yVal>
            <c:numLit>
              <c:formatCode>General</c:formatCode>
              <c:ptCount val="2"/>
              <c:pt idx="0">
                <c:v>2.0223142361182705E-2</c:v>
              </c:pt>
              <c:pt idx="1">
                <c:v>0</c:v>
              </c:pt>
            </c:numLit>
          </c:yVal>
          <c:smooth val="0"/>
          <c:extLst>
            <c:ext xmlns:c16="http://schemas.microsoft.com/office/drawing/2014/chart" uri="{C3380CC4-5D6E-409C-BE32-E72D297353CC}">
              <c16:uniqueId val="{0000005D-2969-4762-BEA3-9E3C552460D5}"/>
            </c:ext>
          </c:extLst>
        </c:ser>
        <c:ser>
          <c:idx val="78"/>
          <c:order val="78"/>
          <c:tx>
            <c:v>h=66</c:v>
          </c:tx>
          <c:spPr>
            <a:ln w="3175">
              <a:solidFill>
                <a:srgbClr val="808080"/>
              </a:solidFill>
              <a:prstDash val="solid"/>
            </a:ln>
          </c:spPr>
          <c:marker>
            <c:symbol val="none"/>
          </c:marker>
          <c:xVal>
            <c:numLit>
              <c:formatCode>General</c:formatCode>
              <c:ptCount val="2"/>
              <c:pt idx="0">
                <c:v>12.189050159543308</c:v>
              </c:pt>
              <c:pt idx="1">
                <c:v>12.489050159543309</c:v>
              </c:pt>
            </c:numLit>
          </c:xVal>
          <c:yVal>
            <c:numLit>
              <c:formatCode>General</c:formatCode>
              <c:ptCount val="2"/>
              <c:pt idx="0">
                <c:v>2.0481223716917487E-2</c:v>
              </c:pt>
              <c:pt idx="1">
                <c:v>2.036703938950285E-2</c:v>
              </c:pt>
            </c:numLit>
          </c:yVal>
          <c:smooth val="0"/>
          <c:extLst>
            <c:ext xmlns:c16="http://schemas.microsoft.com/office/drawing/2014/chart" uri="{C3380CC4-5D6E-409C-BE32-E72D297353CC}">
              <c16:uniqueId val="{0000005E-2969-4762-BEA3-9E3C552460D5}"/>
            </c:ext>
          </c:extLst>
        </c:ser>
        <c:ser>
          <c:idx val="79"/>
          <c:order val="79"/>
          <c:tx>
            <c:v>h=67</c:v>
          </c:tx>
          <c:spPr>
            <a:ln w="3175">
              <a:solidFill>
                <a:srgbClr val="808080"/>
              </a:solidFill>
              <a:prstDash val="solid"/>
            </a:ln>
          </c:spPr>
          <c:marker>
            <c:symbol val="none"/>
          </c:marker>
          <c:xVal>
            <c:numLit>
              <c:formatCode>General</c:formatCode>
              <c:ptCount val="2"/>
              <c:pt idx="0">
                <c:v>12.509981036359715</c:v>
              </c:pt>
              <c:pt idx="1">
                <c:v>12.809981036359716</c:v>
              </c:pt>
            </c:numLit>
          </c:xVal>
          <c:yVal>
            <c:numLit>
              <c:formatCode>General</c:formatCode>
              <c:ptCount val="2"/>
              <c:pt idx="0">
                <c:v>2.0739305072652273E-2</c:v>
              </c:pt>
              <c:pt idx="1">
                <c:v>2.0625122849189527E-2</c:v>
              </c:pt>
            </c:numLit>
          </c:yVal>
          <c:smooth val="0"/>
          <c:extLst>
            <c:ext xmlns:c16="http://schemas.microsoft.com/office/drawing/2014/chart" uri="{C3380CC4-5D6E-409C-BE32-E72D297353CC}">
              <c16:uniqueId val="{0000005F-2969-4762-BEA3-9E3C552460D5}"/>
            </c:ext>
          </c:extLst>
        </c:ser>
        <c:ser>
          <c:idx val="80"/>
          <c:order val="80"/>
          <c:tx>
            <c:v>h=68</c:v>
          </c:tx>
          <c:spPr>
            <a:ln w="3175">
              <a:solidFill>
                <a:srgbClr val="808080"/>
              </a:solidFill>
              <a:prstDash val="solid"/>
            </a:ln>
          </c:spPr>
          <c:marker>
            <c:symbol val="none"/>
          </c:marker>
          <c:xVal>
            <c:numLit>
              <c:formatCode>General</c:formatCode>
              <c:ptCount val="2"/>
              <c:pt idx="0">
                <c:v>12.830911913176122</c:v>
              </c:pt>
              <c:pt idx="1">
                <c:v>13.130911913176121</c:v>
              </c:pt>
            </c:numLit>
          </c:xVal>
          <c:yVal>
            <c:numLit>
              <c:formatCode>General</c:formatCode>
              <c:ptCount val="2"/>
              <c:pt idx="0">
                <c:v>2.0997386428387055E-2</c:v>
              </c:pt>
              <c:pt idx="1">
                <c:v>2.0883206257081656E-2</c:v>
              </c:pt>
            </c:numLit>
          </c:yVal>
          <c:smooth val="0"/>
          <c:extLst>
            <c:ext xmlns:c16="http://schemas.microsoft.com/office/drawing/2014/chart" uri="{C3380CC4-5D6E-409C-BE32-E72D297353CC}">
              <c16:uniqueId val="{00000060-2969-4762-BEA3-9E3C552460D5}"/>
            </c:ext>
          </c:extLst>
        </c:ser>
        <c:ser>
          <c:idx val="81"/>
          <c:order val="81"/>
          <c:tx>
            <c:v>h=69</c:v>
          </c:tx>
          <c:spPr>
            <a:ln w="3175">
              <a:solidFill>
                <a:srgbClr val="808080"/>
              </a:solidFill>
              <a:prstDash val="solid"/>
            </a:ln>
          </c:spPr>
          <c:marker>
            <c:symbol val="none"/>
          </c:marker>
          <c:xVal>
            <c:numLit>
              <c:formatCode>General</c:formatCode>
              <c:ptCount val="2"/>
              <c:pt idx="0">
                <c:v>13.151842789992527</c:v>
              </c:pt>
              <c:pt idx="1">
                <c:v>13.451842789992527</c:v>
              </c:pt>
            </c:numLit>
          </c:xVal>
          <c:yVal>
            <c:numLit>
              <c:formatCode>General</c:formatCode>
              <c:ptCount val="2"/>
              <c:pt idx="0">
                <c:v>2.125546778412184E-2</c:v>
              </c:pt>
              <c:pt idx="1">
                <c:v>2.1141289615068594E-2</c:v>
              </c:pt>
            </c:numLit>
          </c:yVal>
          <c:smooth val="0"/>
          <c:extLst>
            <c:ext xmlns:c16="http://schemas.microsoft.com/office/drawing/2014/chart" uri="{C3380CC4-5D6E-409C-BE32-E72D297353CC}">
              <c16:uniqueId val="{00000061-2969-4762-BEA3-9E3C552460D5}"/>
            </c:ext>
          </c:extLst>
        </c:ser>
        <c:ser>
          <c:idx val="82"/>
          <c:order val="82"/>
          <c:tx>
            <c:v>h=70</c:v>
          </c:tx>
          <c:spPr>
            <a:ln w="3175">
              <a:solidFill>
                <a:srgbClr val="808080"/>
              </a:solidFill>
              <a:prstDash val="solid"/>
            </a:ln>
          </c:spPr>
          <c:marker>
            <c:symbol val="none"/>
          </c:marker>
          <c:dLbls>
            <c:dLbl>
              <c:idx val="0"/>
              <c:layout>
                <c:manualLayout>
                  <c:x val="-2.9887357830271216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13.472773666808934</c:v>
              </c:pt>
              <c:pt idx="1">
                <c:v>66</c:v>
              </c:pt>
            </c:numLit>
          </c:xVal>
          <c:yVal>
            <c:numLit>
              <c:formatCode>General</c:formatCode>
              <c:ptCount val="2"/>
              <c:pt idx="0">
                <c:v>2.1513549139856623E-2</c:v>
              </c:pt>
              <c:pt idx="1">
                <c:v>1.3736012440162208E-3</c:v>
              </c:pt>
            </c:numLit>
          </c:yVal>
          <c:smooth val="0"/>
          <c:extLst>
            <c:ext xmlns:c16="http://schemas.microsoft.com/office/drawing/2014/chart" uri="{C3380CC4-5D6E-409C-BE32-E72D297353CC}">
              <c16:uniqueId val="{00000063-2969-4762-BEA3-9E3C552460D5}"/>
            </c:ext>
          </c:extLst>
        </c:ser>
        <c:ser>
          <c:idx val="83"/>
          <c:order val="83"/>
          <c:tx>
            <c:v>h=71</c:v>
          </c:tx>
          <c:spPr>
            <a:ln w="3175">
              <a:solidFill>
                <a:srgbClr val="808080"/>
              </a:solidFill>
              <a:prstDash val="solid"/>
            </a:ln>
          </c:spPr>
          <c:marker>
            <c:symbol val="none"/>
          </c:marker>
          <c:xVal>
            <c:numLit>
              <c:formatCode>General</c:formatCode>
              <c:ptCount val="2"/>
              <c:pt idx="0">
                <c:v>13.793704543625338</c:v>
              </c:pt>
              <c:pt idx="1">
                <c:v>14.093704543625339</c:v>
              </c:pt>
            </c:numLit>
          </c:xVal>
          <c:yVal>
            <c:numLit>
              <c:formatCode>General</c:formatCode>
              <c:ptCount val="2"/>
              <c:pt idx="0">
                <c:v>2.1771630495591405E-2</c:v>
              </c:pt>
              <c:pt idx="1">
                <c:v>2.1657456188435679E-2</c:v>
              </c:pt>
            </c:numLit>
          </c:yVal>
          <c:smooth val="0"/>
          <c:extLst>
            <c:ext xmlns:c16="http://schemas.microsoft.com/office/drawing/2014/chart" uri="{C3380CC4-5D6E-409C-BE32-E72D297353CC}">
              <c16:uniqueId val="{00000064-2969-4762-BEA3-9E3C552460D5}"/>
            </c:ext>
          </c:extLst>
        </c:ser>
        <c:ser>
          <c:idx val="84"/>
          <c:order val="84"/>
          <c:tx>
            <c:v>h=72</c:v>
          </c:tx>
          <c:spPr>
            <a:ln w="3175">
              <a:solidFill>
                <a:srgbClr val="808080"/>
              </a:solidFill>
              <a:prstDash val="solid"/>
            </a:ln>
          </c:spPr>
          <c:marker>
            <c:symbol val="none"/>
          </c:marker>
          <c:xVal>
            <c:numLit>
              <c:formatCode>General</c:formatCode>
              <c:ptCount val="2"/>
              <c:pt idx="0">
                <c:v>14.114635420441745</c:v>
              </c:pt>
              <c:pt idx="1">
                <c:v>14.414635420441744</c:v>
              </c:pt>
            </c:numLit>
          </c:xVal>
          <c:yVal>
            <c:numLit>
              <c:formatCode>General</c:formatCode>
              <c:ptCount val="2"/>
              <c:pt idx="0">
                <c:v>2.2029711851326191E-2</c:v>
              </c:pt>
              <c:pt idx="1">
                <c:v>2.191553940716175E-2</c:v>
              </c:pt>
            </c:numLit>
          </c:yVal>
          <c:smooth val="0"/>
          <c:extLst>
            <c:ext xmlns:c16="http://schemas.microsoft.com/office/drawing/2014/chart" uri="{C3380CC4-5D6E-409C-BE32-E72D297353CC}">
              <c16:uniqueId val="{00000065-2969-4762-BEA3-9E3C552460D5}"/>
            </c:ext>
          </c:extLst>
        </c:ser>
        <c:ser>
          <c:idx val="85"/>
          <c:order val="85"/>
          <c:tx>
            <c:v>h=73</c:v>
          </c:tx>
          <c:spPr>
            <a:ln w="3175">
              <a:solidFill>
                <a:srgbClr val="808080"/>
              </a:solidFill>
              <a:prstDash val="solid"/>
            </a:ln>
          </c:spPr>
          <c:marker>
            <c:symbol val="none"/>
          </c:marker>
          <c:xVal>
            <c:numLit>
              <c:formatCode>General</c:formatCode>
              <c:ptCount val="2"/>
              <c:pt idx="0">
                <c:v>14.43556629725815</c:v>
              </c:pt>
              <c:pt idx="1">
                <c:v>14.735566297258151</c:v>
              </c:pt>
            </c:numLit>
          </c:xVal>
          <c:yVal>
            <c:numLit>
              <c:formatCode>General</c:formatCode>
              <c:ptCount val="2"/>
              <c:pt idx="0">
                <c:v>2.2287793207060973E-2</c:v>
              </c:pt>
              <c:pt idx="1">
                <c:v>2.2173622582684131E-2</c:v>
              </c:pt>
            </c:numLit>
          </c:yVal>
          <c:smooth val="0"/>
          <c:extLst>
            <c:ext xmlns:c16="http://schemas.microsoft.com/office/drawing/2014/chart" uri="{C3380CC4-5D6E-409C-BE32-E72D297353CC}">
              <c16:uniqueId val="{00000066-2969-4762-BEA3-9E3C552460D5}"/>
            </c:ext>
          </c:extLst>
        </c:ser>
        <c:ser>
          <c:idx val="86"/>
          <c:order val="86"/>
          <c:tx>
            <c:v>h=74</c:v>
          </c:tx>
          <c:spPr>
            <a:ln w="3175">
              <a:solidFill>
                <a:srgbClr val="808080"/>
              </a:solidFill>
              <a:prstDash val="solid"/>
            </a:ln>
          </c:spPr>
          <c:marker>
            <c:symbol val="none"/>
          </c:marker>
          <c:xVal>
            <c:numLit>
              <c:formatCode>General</c:formatCode>
              <c:ptCount val="2"/>
              <c:pt idx="0">
                <c:v>14.756497174074557</c:v>
              </c:pt>
              <c:pt idx="1">
                <c:v>15.056497174074558</c:v>
              </c:pt>
            </c:numLit>
          </c:xVal>
          <c:yVal>
            <c:numLit>
              <c:formatCode>General</c:formatCode>
              <c:ptCount val="2"/>
              <c:pt idx="0">
                <c:v>2.2545874562795755E-2</c:v>
              </c:pt>
              <c:pt idx="1">
                <c:v>2.2431705716488462E-2</c:v>
              </c:pt>
            </c:numLit>
          </c:yVal>
          <c:smooth val="0"/>
          <c:extLst>
            <c:ext xmlns:c16="http://schemas.microsoft.com/office/drawing/2014/chart" uri="{C3380CC4-5D6E-409C-BE32-E72D297353CC}">
              <c16:uniqueId val="{00000067-2969-4762-BEA3-9E3C552460D5}"/>
            </c:ext>
          </c:extLst>
        </c:ser>
        <c:ser>
          <c:idx val="87"/>
          <c:order val="87"/>
          <c:tx>
            <c:v>h=75</c:v>
          </c:tx>
          <c:spPr>
            <a:ln w="3175">
              <a:solidFill>
                <a:srgbClr val="808080"/>
              </a:solidFill>
              <a:prstDash val="solid"/>
            </a:ln>
          </c:spPr>
          <c:marker>
            <c:symbol val="none"/>
          </c:marker>
          <c:dLbls>
            <c:dLbl>
              <c:idx val="0"/>
              <c:layout>
                <c:manualLayout>
                  <c:x val="-2.9887357830271216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8-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15.077428050890962</c:v>
              </c:pt>
              <c:pt idx="1">
                <c:v>66</c:v>
              </c:pt>
            </c:numLit>
          </c:xVal>
          <c:yVal>
            <c:numLit>
              <c:formatCode>General</c:formatCode>
              <c:ptCount val="2"/>
              <c:pt idx="0">
                <c:v>2.2803955918530541E-2</c:v>
              </c:pt>
              <c:pt idx="1">
                <c:v>3.279263347257371E-3</c:v>
              </c:pt>
            </c:numLit>
          </c:yVal>
          <c:smooth val="0"/>
          <c:extLst>
            <c:ext xmlns:c16="http://schemas.microsoft.com/office/drawing/2014/chart" uri="{C3380CC4-5D6E-409C-BE32-E72D297353CC}">
              <c16:uniqueId val="{00000069-2969-4762-BEA3-9E3C552460D5}"/>
            </c:ext>
          </c:extLst>
        </c:ser>
        <c:ser>
          <c:idx val="88"/>
          <c:order val="88"/>
          <c:tx>
            <c:v>h=76</c:v>
          </c:tx>
          <c:spPr>
            <a:ln w="3175">
              <a:solidFill>
                <a:srgbClr val="808080"/>
              </a:solidFill>
              <a:prstDash val="solid"/>
            </a:ln>
          </c:spPr>
          <c:marker>
            <c:symbol val="none"/>
          </c:marker>
          <c:xVal>
            <c:numLit>
              <c:formatCode>General</c:formatCode>
              <c:ptCount val="2"/>
              <c:pt idx="0">
                <c:v>15.398358927707369</c:v>
              </c:pt>
              <c:pt idx="1">
                <c:v>15.698358927707369</c:v>
              </c:pt>
            </c:numLit>
          </c:xVal>
          <c:yVal>
            <c:numLit>
              <c:formatCode>General</c:formatCode>
              <c:ptCount val="2"/>
              <c:pt idx="0">
                <c:v>2.3062037274265323E-2</c:v>
              </c:pt>
              <c:pt idx="1">
                <c:v>2.2947871864552633E-2</c:v>
              </c:pt>
            </c:numLit>
          </c:yVal>
          <c:smooth val="0"/>
          <c:extLst>
            <c:ext xmlns:c16="http://schemas.microsoft.com/office/drawing/2014/chart" uri="{C3380CC4-5D6E-409C-BE32-E72D297353CC}">
              <c16:uniqueId val="{0000006A-2969-4762-BEA3-9E3C552460D5}"/>
            </c:ext>
          </c:extLst>
        </c:ser>
        <c:ser>
          <c:idx val="89"/>
          <c:order val="89"/>
          <c:tx>
            <c:v>h=77</c:v>
          </c:tx>
          <c:spPr>
            <a:ln w="3175">
              <a:solidFill>
                <a:srgbClr val="808080"/>
              </a:solidFill>
              <a:prstDash val="solid"/>
            </a:ln>
          </c:spPr>
          <c:marker>
            <c:symbol val="none"/>
          </c:marker>
          <c:xVal>
            <c:numLit>
              <c:formatCode>General</c:formatCode>
              <c:ptCount val="2"/>
              <c:pt idx="0">
                <c:v>15.719289804523775</c:v>
              </c:pt>
              <c:pt idx="1">
                <c:v>16.019289804523776</c:v>
              </c:pt>
            </c:numLit>
          </c:xVal>
          <c:yVal>
            <c:numLit>
              <c:formatCode>General</c:formatCode>
              <c:ptCount val="2"/>
              <c:pt idx="0">
                <c:v>2.3320118630000105E-2</c:v>
              </c:pt>
              <c:pt idx="1">
                <c:v>2.3205954881461884E-2</c:v>
              </c:pt>
            </c:numLit>
          </c:yVal>
          <c:smooth val="0"/>
          <c:extLst>
            <c:ext xmlns:c16="http://schemas.microsoft.com/office/drawing/2014/chart" uri="{C3380CC4-5D6E-409C-BE32-E72D297353CC}">
              <c16:uniqueId val="{0000006B-2969-4762-BEA3-9E3C552460D5}"/>
            </c:ext>
          </c:extLst>
        </c:ser>
        <c:ser>
          <c:idx val="90"/>
          <c:order val="90"/>
          <c:tx>
            <c:v>h=78</c:v>
          </c:tx>
          <c:spPr>
            <a:ln w="3175">
              <a:solidFill>
                <a:srgbClr val="808080"/>
              </a:solidFill>
              <a:prstDash val="solid"/>
            </a:ln>
          </c:spPr>
          <c:marker>
            <c:symbol val="none"/>
          </c:marker>
          <c:xVal>
            <c:numLit>
              <c:formatCode>General</c:formatCode>
              <c:ptCount val="2"/>
              <c:pt idx="0">
                <c:v>16.04022068134018</c:v>
              </c:pt>
              <c:pt idx="1">
                <c:v>16.340220681340181</c:v>
              </c:pt>
            </c:numLit>
          </c:xVal>
          <c:yVal>
            <c:numLit>
              <c:formatCode>General</c:formatCode>
              <c:ptCount val="2"/>
              <c:pt idx="0">
                <c:v>2.3578199985734891E-2</c:v>
              </c:pt>
              <c:pt idx="1">
                <c:v>2.346403786195873E-2</c:v>
              </c:pt>
            </c:numLit>
          </c:yVal>
          <c:smooth val="0"/>
          <c:extLst>
            <c:ext xmlns:c16="http://schemas.microsoft.com/office/drawing/2014/chart" uri="{C3380CC4-5D6E-409C-BE32-E72D297353CC}">
              <c16:uniqueId val="{0000006C-2969-4762-BEA3-9E3C552460D5}"/>
            </c:ext>
          </c:extLst>
        </c:ser>
        <c:ser>
          <c:idx val="91"/>
          <c:order val="91"/>
          <c:tx>
            <c:v>h=79</c:v>
          </c:tx>
          <c:spPr>
            <a:ln w="3175">
              <a:solidFill>
                <a:srgbClr val="808080"/>
              </a:solidFill>
              <a:prstDash val="solid"/>
            </a:ln>
          </c:spPr>
          <c:marker>
            <c:symbol val="none"/>
          </c:marker>
          <c:xVal>
            <c:numLit>
              <c:formatCode>General</c:formatCode>
              <c:ptCount val="2"/>
              <c:pt idx="0">
                <c:v>16.361151558156585</c:v>
              </c:pt>
              <c:pt idx="1">
                <c:v>16.661151558156586</c:v>
              </c:pt>
            </c:numLit>
          </c:xVal>
          <c:yVal>
            <c:numLit>
              <c:formatCode>General</c:formatCode>
              <c:ptCount val="2"/>
              <c:pt idx="0">
                <c:v>2.3836281341469673E-2</c:v>
              </c:pt>
              <c:pt idx="1">
                <c:v>2.3722120807227413E-2</c:v>
              </c:pt>
            </c:numLit>
          </c:yVal>
          <c:smooth val="0"/>
          <c:extLst>
            <c:ext xmlns:c16="http://schemas.microsoft.com/office/drawing/2014/chart" uri="{C3380CC4-5D6E-409C-BE32-E72D297353CC}">
              <c16:uniqueId val="{0000006D-2969-4762-BEA3-9E3C552460D5}"/>
            </c:ext>
          </c:extLst>
        </c:ser>
        <c:ser>
          <c:idx val="92"/>
          <c:order val="92"/>
          <c:tx>
            <c:v>h=80</c:v>
          </c:tx>
          <c:spPr>
            <a:ln w="3175">
              <a:solidFill>
                <a:srgbClr val="808080"/>
              </a:solidFill>
              <a:prstDash val="solid"/>
            </a:ln>
          </c:spPr>
          <c:marker>
            <c:symbol val="none"/>
          </c:marker>
          <c:dLbls>
            <c:dLbl>
              <c:idx val="0"/>
              <c:layout>
                <c:manualLayout>
                  <c:x val="-2.9887357830271216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E-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16.682082434972994</c:v>
              </c:pt>
              <c:pt idx="1">
                <c:v>66</c:v>
              </c:pt>
            </c:numLit>
          </c:xVal>
          <c:yVal>
            <c:numLit>
              <c:formatCode>General</c:formatCode>
              <c:ptCount val="2"/>
              <c:pt idx="0">
                <c:v>2.4094362697204458E-2</c:v>
              </c:pt>
              <c:pt idx="1">
                <c:v>5.1849254504985213E-3</c:v>
              </c:pt>
            </c:numLit>
          </c:yVal>
          <c:smooth val="0"/>
          <c:extLst>
            <c:ext xmlns:c16="http://schemas.microsoft.com/office/drawing/2014/chart" uri="{C3380CC4-5D6E-409C-BE32-E72D297353CC}">
              <c16:uniqueId val="{0000006F-2969-4762-BEA3-9E3C552460D5}"/>
            </c:ext>
          </c:extLst>
        </c:ser>
        <c:ser>
          <c:idx val="93"/>
          <c:order val="93"/>
          <c:tx>
            <c:v>h=81</c:v>
          </c:tx>
          <c:spPr>
            <a:ln w="3175">
              <a:solidFill>
                <a:srgbClr val="808080"/>
              </a:solidFill>
              <a:prstDash val="solid"/>
            </a:ln>
          </c:spPr>
          <c:marker>
            <c:symbol val="none"/>
          </c:marker>
          <c:xVal>
            <c:numLit>
              <c:formatCode>General</c:formatCode>
              <c:ptCount val="2"/>
              <c:pt idx="0">
                <c:v>17.003013311789399</c:v>
              </c:pt>
              <c:pt idx="1">
                <c:v>17.3030133117894</c:v>
              </c:pt>
            </c:numLit>
          </c:xVal>
          <c:yVal>
            <c:numLit>
              <c:formatCode>General</c:formatCode>
              <c:ptCount val="2"/>
              <c:pt idx="0">
                <c:v>2.4352444052939241E-2</c:v>
              </c:pt>
              <c:pt idx="1">
                <c:v>2.4238286596565944E-2</c:v>
              </c:pt>
            </c:numLit>
          </c:yVal>
          <c:smooth val="0"/>
          <c:extLst>
            <c:ext xmlns:c16="http://schemas.microsoft.com/office/drawing/2014/chart" uri="{C3380CC4-5D6E-409C-BE32-E72D297353CC}">
              <c16:uniqueId val="{00000070-2969-4762-BEA3-9E3C552460D5}"/>
            </c:ext>
          </c:extLst>
        </c:ser>
        <c:ser>
          <c:idx val="94"/>
          <c:order val="94"/>
          <c:tx>
            <c:v>h=82</c:v>
          </c:tx>
          <c:spPr>
            <a:ln w="3175">
              <a:solidFill>
                <a:srgbClr val="808080"/>
              </a:solidFill>
              <a:prstDash val="solid"/>
            </a:ln>
          </c:spPr>
          <c:marker>
            <c:symbol val="none"/>
          </c:marker>
          <c:xVal>
            <c:numLit>
              <c:formatCode>General</c:formatCode>
              <c:ptCount val="2"/>
              <c:pt idx="0">
                <c:v>17.323944188605804</c:v>
              </c:pt>
              <c:pt idx="1">
                <c:v>17.623944188605805</c:v>
              </c:pt>
            </c:numLit>
          </c:xVal>
          <c:yVal>
            <c:numLit>
              <c:formatCode>General</c:formatCode>
              <c:ptCount val="2"/>
              <c:pt idx="0">
                <c:v>2.4610525408674023E-2</c:v>
              </c:pt>
              <c:pt idx="1">
                <c:v>2.4496369442760877E-2</c:v>
              </c:pt>
            </c:numLit>
          </c:yVal>
          <c:smooth val="0"/>
          <c:extLst>
            <c:ext xmlns:c16="http://schemas.microsoft.com/office/drawing/2014/chart" uri="{C3380CC4-5D6E-409C-BE32-E72D297353CC}">
              <c16:uniqueId val="{00000071-2969-4762-BEA3-9E3C552460D5}"/>
            </c:ext>
          </c:extLst>
        </c:ser>
        <c:ser>
          <c:idx val="95"/>
          <c:order val="95"/>
          <c:tx>
            <c:v>h=83</c:v>
          </c:tx>
          <c:spPr>
            <a:ln w="3175">
              <a:solidFill>
                <a:srgbClr val="808080"/>
              </a:solidFill>
              <a:prstDash val="solid"/>
            </a:ln>
          </c:spPr>
          <c:marker>
            <c:symbol val="none"/>
          </c:marker>
          <c:xVal>
            <c:numLit>
              <c:formatCode>General</c:formatCode>
              <c:ptCount val="2"/>
              <c:pt idx="0">
                <c:v>17.644875065422212</c:v>
              </c:pt>
              <c:pt idx="1">
                <c:v>17.94487506542221</c:v>
              </c:pt>
            </c:numLit>
          </c:xVal>
          <c:yVal>
            <c:numLit>
              <c:formatCode>General</c:formatCode>
              <c:ptCount val="2"/>
              <c:pt idx="0">
                <c:v>2.4868606764408809E-2</c:v>
              </c:pt>
              <c:pt idx="1">
                <c:v>2.4754452257982711E-2</c:v>
              </c:pt>
            </c:numLit>
          </c:yVal>
          <c:smooth val="0"/>
          <c:extLst>
            <c:ext xmlns:c16="http://schemas.microsoft.com/office/drawing/2014/chart" uri="{C3380CC4-5D6E-409C-BE32-E72D297353CC}">
              <c16:uniqueId val="{00000072-2969-4762-BEA3-9E3C552460D5}"/>
            </c:ext>
          </c:extLst>
        </c:ser>
        <c:ser>
          <c:idx val="96"/>
          <c:order val="96"/>
          <c:tx>
            <c:v>h=84</c:v>
          </c:tx>
          <c:spPr>
            <a:ln w="3175">
              <a:solidFill>
                <a:srgbClr val="808080"/>
              </a:solidFill>
              <a:prstDash val="solid"/>
            </a:ln>
          </c:spPr>
          <c:marker>
            <c:symbol val="none"/>
          </c:marker>
          <c:xVal>
            <c:numLit>
              <c:formatCode>General</c:formatCode>
              <c:ptCount val="2"/>
              <c:pt idx="0">
                <c:v>17.965805942238617</c:v>
              </c:pt>
              <c:pt idx="1">
                <c:v>18.265805942238618</c:v>
              </c:pt>
            </c:numLit>
          </c:xVal>
          <c:yVal>
            <c:numLit>
              <c:formatCode>General</c:formatCode>
              <c:ptCount val="2"/>
              <c:pt idx="0">
                <c:v>2.5126688120143591E-2</c:v>
              </c:pt>
              <c:pt idx="1">
                <c:v>2.5012535043186984E-2</c:v>
              </c:pt>
            </c:numLit>
          </c:yVal>
          <c:smooth val="0"/>
          <c:extLst>
            <c:ext xmlns:c16="http://schemas.microsoft.com/office/drawing/2014/chart" uri="{C3380CC4-5D6E-409C-BE32-E72D297353CC}">
              <c16:uniqueId val="{00000073-2969-4762-BEA3-9E3C552460D5}"/>
            </c:ext>
          </c:extLst>
        </c:ser>
        <c:ser>
          <c:idx val="97"/>
          <c:order val="97"/>
          <c:tx>
            <c:v>h=85</c:v>
          </c:tx>
          <c:spPr>
            <a:ln w="3175">
              <a:solidFill>
                <a:srgbClr val="808080"/>
              </a:solidFill>
              <a:prstDash val="solid"/>
            </a:ln>
          </c:spPr>
          <c:marker>
            <c:symbol val="none"/>
          </c:marker>
          <c:dLbls>
            <c:dLbl>
              <c:idx val="0"/>
              <c:layout>
                <c:manualLayout>
                  <c:x val="-2.9887357830271216E-2"/>
                  <c:y val="-9.2193283531866593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4-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18.286736819055022</c:v>
              </c:pt>
              <c:pt idx="1">
                <c:v>66</c:v>
              </c:pt>
            </c:numLit>
          </c:xVal>
          <c:yVal>
            <c:numLit>
              <c:formatCode>General</c:formatCode>
              <c:ptCount val="2"/>
              <c:pt idx="0">
                <c:v>2.5384769475878373E-2</c:v>
              </c:pt>
              <c:pt idx="1">
                <c:v>7.0905875537396711E-3</c:v>
              </c:pt>
            </c:numLit>
          </c:yVal>
          <c:smooth val="0"/>
          <c:extLst>
            <c:ext xmlns:c16="http://schemas.microsoft.com/office/drawing/2014/chart" uri="{C3380CC4-5D6E-409C-BE32-E72D297353CC}">
              <c16:uniqueId val="{00000075-2969-4762-BEA3-9E3C552460D5}"/>
            </c:ext>
          </c:extLst>
        </c:ser>
        <c:ser>
          <c:idx val="98"/>
          <c:order val="98"/>
          <c:tx>
            <c:v>h=86</c:v>
          </c:tx>
          <c:spPr>
            <a:ln w="3175">
              <a:solidFill>
                <a:srgbClr val="808080"/>
              </a:solidFill>
              <a:prstDash val="solid"/>
            </a:ln>
          </c:spPr>
          <c:marker>
            <c:symbol val="none"/>
          </c:marker>
          <c:xVal>
            <c:numLit>
              <c:formatCode>General</c:formatCode>
              <c:ptCount val="2"/>
              <c:pt idx="0">
                <c:v>18.607667695871427</c:v>
              </c:pt>
              <c:pt idx="1">
                <c:v>18.907667695871428</c:v>
              </c:pt>
            </c:numLit>
          </c:xVal>
          <c:yVal>
            <c:numLit>
              <c:formatCode>General</c:formatCode>
              <c:ptCount val="2"/>
              <c:pt idx="0">
                <c:v>2.5642850831613159E-2</c:v>
              </c:pt>
              <c:pt idx="1">
                <c:v>2.5528700527172477E-2</c:v>
              </c:pt>
            </c:numLit>
          </c:yVal>
          <c:smooth val="0"/>
          <c:extLst>
            <c:ext xmlns:c16="http://schemas.microsoft.com/office/drawing/2014/chart" uri="{C3380CC4-5D6E-409C-BE32-E72D297353CC}">
              <c16:uniqueId val="{00000076-2969-4762-BEA3-9E3C552460D5}"/>
            </c:ext>
          </c:extLst>
        </c:ser>
        <c:ser>
          <c:idx val="99"/>
          <c:order val="99"/>
          <c:tx>
            <c:v>h=87</c:v>
          </c:tx>
          <c:spPr>
            <a:ln w="3175">
              <a:solidFill>
                <a:srgbClr val="808080"/>
              </a:solidFill>
              <a:prstDash val="solid"/>
            </a:ln>
          </c:spPr>
          <c:marker>
            <c:symbol val="none"/>
          </c:marker>
          <c:xVal>
            <c:numLit>
              <c:formatCode>General</c:formatCode>
              <c:ptCount val="2"/>
              <c:pt idx="0">
                <c:v>18.928598572687836</c:v>
              </c:pt>
              <c:pt idx="1">
                <c:v>19.228598572687833</c:v>
              </c:pt>
            </c:numLit>
          </c:xVal>
          <c:yVal>
            <c:numLit>
              <c:formatCode>General</c:formatCode>
              <c:ptCount val="2"/>
              <c:pt idx="0">
                <c:v>2.5900932187347941E-2</c:v>
              </c:pt>
              <c:pt idx="1">
                <c:v>2.5786783227677974E-2</c:v>
              </c:pt>
            </c:numLit>
          </c:yVal>
          <c:smooth val="0"/>
          <c:extLst>
            <c:ext xmlns:c16="http://schemas.microsoft.com/office/drawing/2014/chart" uri="{C3380CC4-5D6E-409C-BE32-E72D297353CC}">
              <c16:uniqueId val="{00000077-2969-4762-BEA3-9E3C552460D5}"/>
            </c:ext>
          </c:extLst>
        </c:ser>
        <c:ser>
          <c:idx val="100"/>
          <c:order val="100"/>
          <c:tx>
            <c:v>h=88</c:v>
          </c:tx>
          <c:spPr>
            <a:ln w="3175">
              <a:solidFill>
                <a:srgbClr val="808080"/>
              </a:solidFill>
              <a:prstDash val="solid"/>
            </a:ln>
          </c:spPr>
          <c:marker>
            <c:symbol val="none"/>
          </c:marker>
          <c:xVal>
            <c:numLit>
              <c:formatCode>General</c:formatCode>
              <c:ptCount val="2"/>
              <c:pt idx="0">
                <c:v>19.249529449504241</c:v>
              </c:pt>
              <c:pt idx="1">
                <c:v>19.549529449504242</c:v>
              </c:pt>
            </c:numLit>
          </c:xVal>
          <c:yVal>
            <c:numLit>
              <c:formatCode>General</c:formatCode>
              <c:ptCount val="2"/>
              <c:pt idx="0">
                <c:v>2.6159013543082726E-2</c:v>
              </c:pt>
              <c:pt idx="1">
                <c:v>2.6044865901618065E-2</c:v>
              </c:pt>
            </c:numLit>
          </c:yVal>
          <c:smooth val="0"/>
          <c:extLst>
            <c:ext xmlns:c16="http://schemas.microsoft.com/office/drawing/2014/chart" uri="{C3380CC4-5D6E-409C-BE32-E72D297353CC}">
              <c16:uniqueId val="{00000078-2969-4762-BEA3-9E3C552460D5}"/>
            </c:ext>
          </c:extLst>
        </c:ser>
        <c:ser>
          <c:idx val="101"/>
          <c:order val="101"/>
          <c:tx>
            <c:v>h=89</c:v>
          </c:tx>
          <c:spPr>
            <a:ln w="3175">
              <a:solidFill>
                <a:srgbClr val="808080"/>
              </a:solidFill>
              <a:prstDash val="solid"/>
            </a:ln>
          </c:spPr>
          <c:marker>
            <c:symbol val="none"/>
          </c:marker>
          <c:xVal>
            <c:numLit>
              <c:formatCode>General</c:formatCode>
              <c:ptCount val="2"/>
              <c:pt idx="0">
                <c:v>19.570460326320646</c:v>
              </c:pt>
              <c:pt idx="1">
                <c:v>19.870460326320647</c:v>
              </c:pt>
            </c:numLit>
          </c:xVal>
          <c:yVal>
            <c:numLit>
              <c:formatCode>General</c:formatCode>
              <c:ptCount val="2"/>
              <c:pt idx="0">
                <c:v>2.6417094898817509E-2</c:v>
              </c:pt>
              <c:pt idx="1">
                <c:v>2.6302948549772224E-2</c:v>
              </c:pt>
            </c:numLit>
          </c:yVal>
          <c:smooth val="0"/>
          <c:extLst>
            <c:ext xmlns:c16="http://schemas.microsoft.com/office/drawing/2014/chart" uri="{C3380CC4-5D6E-409C-BE32-E72D297353CC}">
              <c16:uniqueId val="{00000079-2969-4762-BEA3-9E3C552460D5}"/>
            </c:ext>
          </c:extLst>
        </c:ser>
        <c:ser>
          <c:idx val="102"/>
          <c:order val="102"/>
          <c:tx>
            <c:v>h=90</c:v>
          </c:tx>
          <c:spPr>
            <a:ln w="3175">
              <a:solidFill>
                <a:srgbClr val="808080"/>
              </a:solidFill>
              <a:prstDash val="solid"/>
            </a:ln>
          </c:spPr>
          <c:marker>
            <c:symbol val="none"/>
          </c:marker>
          <c:dLbls>
            <c:dLbl>
              <c:idx val="0"/>
              <c:layout>
                <c:manualLayout>
                  <c:x val="-2.9887357830271216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A-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19.891391203137051</c:v>
              </c:pt>
              <c:pt idx="1">
                <c:v>66</c:v>
              </c:pt>
            </c:numLit>
          </c:xVal>
          <c:yVal>
            <c:numLit>
              <c:formatCode>General</c:formatCode>
              <c:ptCount val="2"/>
              <c:pt idx="0">
                <c:v>2.6675176254552291E-2</c:v>
              </c:pt>
              <c:pt idx="1">
                <c:v>8.9962496569808217E-3</c:v>
              </c:pt>
            </c:numLit>
          </c:yVal>
          <c:smooth val="0"/>
          <c:extLst>
            <c:ext xmlns:c16="http://schemas.microsoft.com/office/drawing/2014/chart" uri="{C3380CC4-5D6E-409C-BE32-E72D297353CC}">
              <c16:uniqueId val="{0000007B-2969-4762-BEA3-9E3C552460D5}"/>
            </c:ext>
          </c:extLst>
        </c:ser>
        <c:ser>
          <c:idx val="103"/>
          <c:order val="103"/>
          <c:tx>
            <c:v>h=91</c:v>
          </c:tx>
          <c:spPr>
            <a:ln w="3175">
              <a:solidFill>
                <a:srgbClr val="808080"/>
              </a:solidFill>
              <a:prstDash val="solid"/>
            </a:ln>
          </c:spPr>
          <c:marker>
            <c:symbol val="none"/>
          </c:marker>
          <c:xVal>
            <c:numLit>
              <c:formatCode>General</c:formatCode>
              <c:ptCount val="2"/>
              <c:pt idx="0">
                <c:v>20.212322079953459</c:v>
              </c:pt>
              <c:pt idx="1">
                <c:v>20.51232207995346</c:v>
              </c:pt>
            </c:numLit>
          </c:xVal>
          <c:yVal>
            <c:numLit>
              <c:formatCode>General</c:formatCode>
              <c:ptCount val="2"/>
              <c:pt idx="0">
                <c:v>2.6933257610287076E-2</c:v>
              </c:pt>
              <c:pt idx="1">
                <c:v>2.6819113771691151E-2</c:v>
              </c:pt>
            </c:numLit>
          </c:yVal>
          <c:smooth val="0"/>
          <c:extLst>
            <c:ext xmlns:c16="http://schemas.microsoft.com/office/drawing/2014/chart" uri="{C3380CC4-5D6E-409C-BE32-E72D297353CC}">
              <c16:uniqueId val="{0000007C-2969-4762-BEA3-9E3C552460D5}"/>
            </c:ext>
          </c:extLst>
        </c:ser>
        <c:ser>
          <c:idx val="104"/>
          <c:order val="104"/>
          <c:tx>
            <c:v>h=92</c:v>
          </c:tx>
          <c:spPr>
            <a:ln w="3175">
              <a:solidFill>
                <a:srgbClr val="808080"/>
              </a:solidFill>
              <a:prstDash val="solid"/>
            </a:ln>
          </c:spPr>
          <c:marker>
            <c:symbol val="none"/>
          </c:marker>
          <c:xVal>
            <c:numLit>
              <c:formatCode>General</c:formatCode>
              <c:ptCount val="2"/>
              <c:pt idx="0">
                <c:v>20.533252956769864</c:v>
              </c:pt>
              <c:pt idx="1">
                <c:v>20.833252956769865</c:v>
              </c:pt>
            </c:numLit>
          </c:xVal>
          <c:yVal>
            <c:numLit>
              <c:formatCode>General</c:formatCode>
              <c:ptCount val="2"/>
              <c:pt idx="0">
                <c:v>2.7191338966021859E-2</c:v>
              </c:pt>
              <c:pt idx="1">
                <c:v>2.7077196346869597E-2</c:v>
              </c:pt>
            </c:numLit>
          </c:yVal>
          <c:smooth val="0"/>
          <c:extLst>
            <c:ext xmlns:c16="http://schemas.microsoft.com/office/drawing/2014/chart" uri="{C3380CC4-5D6E-409C-BE32-E72D297353CC}">
              <c16:uniqueId val="{0000007D-2969-4762-BEA3-9E3C552460D5}"/>
            </c:ext>
          </c:extLst>
        </c:ser>
        <c:ser>
          <c:idx val="105"/>
          <c:order val="105"/>
          <c:tx>
            <c:v>h=93</c:v>
          </c:tx>
          <c:spPr>
            <a:ln w="3175">
              <a:solidFill>
                <a:srgbClr val="808080"/>
              </a:solidFill>
              <a:prstDash val="solid"/>
            </a:ln>
          </c:spPr>
          <c:marker>
            <c:symbol val="none"/>
          </c:marker>
          <c:xVal>
            <c:numLit>
              <c:formatCode>General</c:formatCode>
              <c:ptCount val="2"/>
              <c:pt idx="0">
                <c:v>20.854183833586269</c:v>
              </c:pt>
              <c:pt idx="1">
                <c:v>21.15418383358627</c:v>
              </c:pt>
            </c:numLit>
          </c:xVal>
          <c:yVal>
            <c:numLit>
              <c:formatCode>General</c:formatCode>
              <c:ptCount val="2"/>
              <c:pt idx="0">
                <c:v>2.7449420321756641E-2</c:v>
              </c:pt>
              <c:pt idx="1">
                <c:v>2.7335278899092125E-2</c:v>
              </c:pt>
            </c:numLit>
          </c:yVal>
          <c:smooth val="0"/>
          <c:extLst>
            <c:ext xmlns:c16="http://schemas.microsoft.com/office/drawing/2014/chart" uri="{C3380CC4-5D6E-409C-BE32-E72D297353CC}">
              <c16:uniqueId val="{0000007E-2969-4762-BEA3-9E3C552460D5}"/>
            </c:ext>
          </c:extLst>
        </c:ser>
        <c:ser>
          <c:idx val="106"/>
          <c:order val="106"/>
          <c:tx>
            <c:v>h=94</c:v>
          </c:tx>
          <c:spPr>
            <a:ln w="3175">
              <a:solidFill>
                <a:srgbClr val="808080"/>
              </a:solidFill>
              <a:prstDash val="solid"/>
            </a:ln>
          </c:spPr>
          <c:marker>
            <c:symbol val="none"/>
          </c:marker>
          <c:xVal>
            <c:numLit>
              <c:formatCode>General</c:formatCode>
              <c:ptCount val="2"/>
              <c:pt idx="0">
                <c:v>21.175114710402678</c:v>
              </c:pt>
              <c:pt idx="1">
                <c:v>21.475114710402675</c:v>
              </c:pt>
            </c:numLit>
          </c:xVal>
          <c:yVal>
            <c:numLit>
              <c:formatCode>General</c:formatCode>
              <c:ptCount val="2"/>
              <c:pt idx="0">
                <c:v>2.7707501677491427E-2</c:v>
              </c:pt>
              <c:pt idx="1">
                <c:v>2.7593361429000918E-2</c:v>
              </c:pt>
            </c:numLit>
          </c:yVal>
          <c:smooth val="0"/>
          <c:extLst>
            <c:ext xmlns:c16="http://schemas.microsoft.com/office/drawing/2014/chart" uri="{C3380CC4-5D6E-409C-BE32-E72D297353CC}">
              <c16:uniqueId val="{0000007F-2969-4762-BEA3-9E3C552460D5}"/>
            </c:ext>
          </c:extLst>
        </c:ser>
        <c:ser>
          <c:idx val="107"/>
          <c:order val="107"/>
          <c:tx>
            <c:v>h=95</c:v>
          </c:tx>
          <c:spPr>
            <a:ln w="3175">
              <a:solidFill>
                <a:srgbClr val="808080"/>
              </a:solidFill>
              <a:prstDash val="solid"/>
            </a:ln>
          </c:spPr>
          <c:marker>
            <c:symbol val="none"/>
          </c:marker>
          <c:dLbls>
            <c:dLbl>
              <c:idx val="0"/>
              <c:layout>
                <c:manualLayout>
                  <c:x val="-2.9887357830271279E-2"/>
                  <c:y val="-9.2193283531866212E-3"/>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0-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21.496045587219083</c:v>
              </c:pt>
              <c:pt idx="1">
                <c:v>66</c:v>
              </c:pt>
            </c:numLit>
          </c:xVal>
          <c:yVal>
            <c:numLit>
              <c:formatCode>General</c:formatCode>
              <c:ptCount val="2"/>
              <c:pt idx="0">
                <c:v>2.7965583033226209E-2</c:v>
              </c:pt>
              <c:pt idx="1">
                <c:v>1.0901911760221971E-2</c:v>
              </c:pt>
            </c:numLit>
          </c:yVal>
          <c:smooth val="0"/>
          <c:extLst>
            <c:ext xmlns:c16="http://schemas.microsoft.com/office/drawing/2014/chart" uri="{C3380CC4-5D6E-409C-BE32-E72D297353CC}">
              <c16:uniqueId val="{00000081-2969-4762-BEA3-9E3C552460D5}"/>
            </c:ext>
          </c:extLst>
        </c:ser>
        <c:ser>
          <c:idx val="108"/>
          <c:order val="108"/>
          <c:tx>
            <c:v>h=96</c:v>
          </c:tx>
          <c:spPr>
            <a:ln w="3175">
              <a:solidFill>
                <a:srgbClr val="808080"/>
              </a:solidFill>
              <a:prstDash val="solid"/>
            </a:ln>
          </c:spPr>
          <c:marker>
            <c:symbol val="none"/>
          </c:marker>
          <c:xVal>
            <c:numLit>
              <c:formatCode>General</c:formatCode>
              <c:ptCount val="2"/>
              <c:pt idx="0">
                <c:v>21.816976464035488</c:v>
              </c:pt>
              <c:pt idx="1">
                <c:v>22.116976464035488</c:v>
              </c:pt>
            </c:numLit>
          </c:xVal>
          <c:yVal>
            <c:numLit>
              <c:formatCode>General</c:formatCode>
              <c:ptCount val="2"/>
              <c:pt idx="0">
                <c:v>2.8223664388960994E-2</c:v>
              </c:pt>
              <c:pt idx="1">
                <c:v>2.8109526424328381E-2</c:v>
              </c:pt>
            </c:numLit>
          </c:yVal>
          <c:smooth val="0"/>
          <c:extLst>
            <c:ext xmlns:c16="http://schemas.microsoft.com/office/drawing/2014/chart" uri="{C3380CC4-5D6E-409C-BE32-E72D297353CC}">
              <c16:uniqueId val="{00000082-2969-4762-BEA3-9E3C552460D5}"/>
            </c:ext>
          </c:extLst>
        </c:ser>
        <c:ser>
          <c:idx val="109"/>
          <c:order val="109"/>
          <c:tx>
            <c:v>h=97</c:v>
          </c:tx>
          <c:spPr>
            <a:ln w="3175">
              <a:solidFill>
                <a:srgbClr val="808080"/>
              </a:solidFill>
              <a:prstDash val="solid"/>
            </a:ln>
          </c:spPr>
          <c:marker>
            <c:symbol val="none"/>
          </c:marker>
          <c:xVal>
            <c:numLit>
              <c:formatCode>General</c:formatCode>
              <c:ptCount val="2"/>
              <c:pt idx="0">
                <c:v>22.137907340851893</c:v>
              </c:pt>
              <c:pt idx="1">
                <c:v>22.437907340851893</c:v>
              </c:pt>
            </c:numLit>
          </c:xVal>
          <c:yVal>
            <c:numLit>
              <c:formatCode>General</c:formatCode>
              <c:ptCount val="2"/>
              <c:pt idx="0">
                <c:v>2.8481745744695777E-2</c:v>
              </c:pt>
              <c:pt idx="1">
                <c:v>2.8367608890917023E-2</c:v>
              </c:pt>
            </c:numLit>
          </c:yVal>
          <c:smooth val="0"/>
          <c:extLst>
            <c:ext xmlns:c16="http://schemas.microsoft.com/office/drawing/2014/chart" uri="{C3380CC4-5D6E-409C-BE32-E72D297353CC}">
              <c16:uniqueId val="{00000083-2969-4762-BEA3-9E3C552460D5}"/>
            </c:ext>
          </c:extLst>
        </c:ser>
        <c:ser>
          <c:idx val="110"/>
          <c:order val="110"/>
          <c:tx>
            <c:v>h=98</c:v>
          </c:tx>
          <c:spPr>
            <a:ln w="3175">
              <a:solidFill>
                <a:srgbClr val="808080"/>
              </a:solidFill>
              <a:prstDash val="solid"/>
            </a:ln>
          </c:spPr>
          <c:marker>
            <c:symbol val="none"/>
          </c:marker>
          <c:xVal>
            <c:numLit>
              <c:formatCode>General</c:formatCode>
              <c:ptCount val="2"/>
              <c:pt idx="0">
                <c:v>22.458838217668301</c:v>
              </c:pt>
              <c:pt idx="1">
                <c:v>22.758838217668302</c:v>
              </c:pt>
            </c:numLit>
          </c:xVal>
          <c:yVal>
            <c:numLit>
              <c:formatCode>General</c:formatCode>
              <c:ptCount val="2"/>
              <c:pt idx="0">
                <c:v>2.8739827100430559E-2</c:v>
              </c:pt>
              <c:pt idx="1">
                <c:v>2.8625691337533864E-2</c:v>
              </c:pt>
            </c:numLit>
          </c:yVal>
          <c:smooth val="0"/>
          <c:extLst>
            <c:ext xmlns:c16="http://schemas.microsoft.com/office/drawing/2014/chart" uri="{C3380CC4-5D6E-409C-BE32-E72D297353CC}">
              <c16:uniqueId val="{00000084-2969-4762-BEA3-9E3C552460D5}"/>
            </c:ext>
          </c:extLst>
        </c:ser>
        <c:ser>
          <c:idx val="111"/>
          <c:order val="111"/>
          <c:tx>
            <c:v>h=99</c:v>
          </c:tx>
          <c:spPr>
            <a:ln w="3175">
              <a:solidFill>
                <a:srgbClr val="808080"/>
              </a:solidFill>
              <a:prstDash val="solid"/>
            </a:ln>
          </c:spPr>
          <c:marker>
            <c:symbol val="none"/>
          </c:marker>
          <c:xVal>
            <c:numLit>
              <c:formatCode>General</c:formatCode>
              <c:ptCount val="2"/>
              <c:pt idx="0">
                <c:v>22.779769094484706</c:v>
              </c:pt>
              <c:pt idx="1">
                <c:v>23.079769094484707</c:v>
              </c:pt>
            </c:numLit>
          </c:xVal>
          <c:yVal>
            <c:numLit>
              <c:formatCode>General</c:formatCode>
              <c:ptCount val="2"/>
              <c:pt idx="0">
                <c:v>2.8997908456165344E-2</c:v>
              </c:pt>
              <c:pt idx="1">
                <c:v>2.8883773764712708E-2</c:v>
              </c:pt>
            </c:numLit>
          </c:yVal>
          <c:smooth val="0"/>
          <c:extLst>
            <c:ext xmlns:c16="http://schemas.microsoft.com/office/drawing/2014/chart" uri="{C3380CC4-5D6E-409C-BE32-E72D297353CC}">
              <c16:uniqueId val="{00000085-2969-4762-BEA3-9E3C552460D5}"/>
            </c:ext>
          </c:extLst>
        </c:ser>
        <c:ser>
          <c:idx val="112"/>
          <c:order val="112"/>
          <c:tx>
            <c:v>h=100</c:v>
          </c:tx>
          <c:spPr>
            <a:ln w="3175">
              <a:solidFill>
                <a:srgbClr val="808080"/>
              </a:solidFill>
              <a:prstDash val="solid"/>
            </a:ln>
          </c:spPr>
          <c:marker>
            <c:symbol val="none"/>
          </c:marker>
          <c:dLbls>
            <c:dLbl>
              <c:idx val="0"/>
              <c:layout>
                <c:manualLayout>
                  <c:x val="-3.1673228346456757E-2"/>
                  <c:y val="-1.2244599232788209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6-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23.100699971301111</c:v>
              </c:pt>
              <c:pt idx="1">
                <c:v>66</c:v>
              </c:pt>
            </c:numLit>
          </c:xVal>
          <c:yVal>
            <c:numLit>
              <c:formatCode>General</c:formatCode>
              <c:ptCount val="2"/>
              <c:pt idx="0">
                <c:v>2.9255989811900127E-2</c:v>
              </c:pt>
              <c:pt idx="1">
                <c:v>1.2807573863463121E-2</c:v>
              </c:pt>
            </c:numLit>
          </c:yVal>
          <c:smooth val="0"/>
          <c:extLst>
            <c:ext xmlns:c16="http://schemas.microsoft.com/office/drawing/2014/chart" uri="{C3380CC4-5D6E-409C-BE32-E72D297353CC}">
              <c16:uniqueId val="{00000087-2969-4762-BEA3-9E3C552460D5}"/>
            </c:ext>
          </c:extLst>
        </c:ser>
        <c:ser>
          <c:idx val="113"/>
          <c:order val="113"/>
          <c:tx>
            <c:v>h=101</c:v>
          </c:tx>
          <c:spPr>
            <a:ln w="3175">
              <a:solidFill>
                <a:srgbClr val="808080"/>
              </a:solidFill>
              <a:prstDash val="solid"/>
            </a:ln>
          </c:spPr>
          <c:marker>
            <c:symbol val="none"/>
          </c:marker>
          <c:xVal>
            <c:numLit>
              <c:formatCode>General</c:formatCode>
              <c:ptCount val="2"/>
              <c:pt idx="0">
                <c:v>23.42163084811752</c:v>
              </c:pt>
              <c:pt idx="1">
                <c:v>23.721630848117517</c:v>
              </c:pt>
            </c:numLit>
          </c:xVal>
          <c:yVal>
            <c:numLit>
              <c:formatCode>General</c:formatCode>
              <c:ptCount val="2"/>
              <c:pt idx="0">
                <c:v>2.9514071167634909E-2</c:v>
              </c:pt>
              <c:pt idx="1">
                <c:v>2.939993856279817E-2</c:v>
              </c:pt>
            </c:numLit>
          </c:yVal>
          <c:smooth val="0"/>
          <c:extLst>
            <c:ext xmlns:c16="http://schemas.microsoft.com/office/drawing/2014/chart" uri="{C3380CC4-5D6E-409C-BE32-E72D297353CC}">
              <c16:uniqueId val="{00000088-2969-4762-BEA3-9E3C552460D5}"/>
            </c:ext>
          </c:extLst>
        </c:ser>
        <c:ser>
          <c:idx val="114"/>
          <c:order val="114"/>
          <c:tx>
            <c:v>h=102</c:v>
          </c:tx>
          <c:spPr>
            <a:ln w="3175">
              <a:solidFill>
                <a:srgbClr val="808080"/>
              </a:solidFill>
              <a:prstDash val="solid"/>
            </a:ln>
          </c:spPr>
          <c:marker>
            <c:symbol val="none"/>
          </c:marker>
          <c:xVal>
            <c:numLit>
              <c:formatCode>General</c:formatCode>
              <c:ptCount val="2"/>
              <c:pt idx="0">
                <c:v>23.742561724933925</c:v>
              </c:pt>
              <c:pt idx="1">
                <c:v>24.042561724933925</c:v>
              </c:pt>
            </c:numLit>
          </c:xVal>
          <c:yVal>
            <c:numLit>
              <c:formatCode>General</c:formatCode>
              <c:ptCount val="2"/>
              <c:pt idx="0">
                <c:v>2.9772152523369694E-2</c:v>
              </c:pt>
              <c:pt idx="1">
                <c:v>2.9658020934681381E-2</c:v>
              </c:pt>
            </c:numLit>
          </c:yVal>
          <c:smooth val="0"/>
          <c:extLst>
            <c:ext xmlns:c16="http://schemas.microsoft.com/office/drawing/2014/chart" uri="{C3380CC4-5D6E-409C-BE32-E72D297353CC}">
              <c16:uniqueId val="{00000089-2969-4762-BEA3-9E3C552460D5}"/>
            </c:ext>
          </c:extLst>
        </c:ser>
        <c:ser>
          <c:idx val="115"/>
          <c:order val="115"/>
          <c:tx>
            <c:v>h=103</c:v>
          </c:tx>
          <c:spPr>
            <a:ln w="3175">
              <a:solidFill>
                <a:srgbClr val="808080"/>
              </a:solidFill>
              <a:prstDash val="solid"/>
            </a:ln>
          </c:spPr>
          <c:marker>
            <c:symbol val="none"/>
          </c:marker>
          <c:xVal>
            <c:numLit>
              <c:formatCode>General</c:formatCode>
              <c:ptCount val="2"/>
              <c:pt idx="0">
                <c:v>24.06349260175033</c:v>
              </c:pt>
              <c:pt idx="1">
                <c:v>24.36349260175033</c:v>
              </c:pt>
            </c:numLit>
          </c:xVal>
          <c:yVal>
            <c:numLit>
              <c:formatCode>General</c:formatCode>
              <c:ptCount val="2"/>
              <c:pt idx="0">
                <c:v>3.0030233879104477E-2</c:v>
              </c:pt>
              <c:pt idx="1">
                <c:v>2.9916103289081297E-2</c:v>
              </c:pt>
            </c:numLit>
          </c:yVal>
          <c:smooth val="0"/>
          <c:extLst>
            <c:ext xmlns:c16="http://schemas.microsoft.com/office/drawing/2014/chart" uri="{C3380CC4-5D6E-409C-BE32-E72D297353CC}">
              <c16:uniqueId val="{0000008A-2969-4762-BEA3-9E3C552460D5}"/>
            </c:ext>
          </c:extLst>
        </c:ser>
        <c:ser>
          <c:idx val="116"/>
          <c:order val="116"/>
          <c:tx>
            <c:v>h=104</c:v>
          </c:tx>
          <c:spPr>
            <a:ln w="3175">
              <a:solidFill>
                <a:srgbClr val="808080"/>
              </a:solidFill>
              <a:prstDash val="solid"/>
            </a:ln>
          </c:spPr>
          <c:marker>
            <c:symbol val="none"/>
          </c:marker>
          <c:xVal>
            <c:numLit>
              <c:formatCode>General</c:formatCode>
              <c:ptCount val="2"/>
              <c:pt idx="0">
                <c:v>24.384423478566735</c:v>
              </c:pt>
              <c:pt idx="1">
                <c:v>24.684423478566735</c:v>
              </c:pt>
            </c:numLit>
          </c:xVal>
          <c:yVal>
            <c:numLit>
              <c:formatCode>General</c:formatCode>
              <c:ptCount val="2"/>
              <c:pt idx="0">
                <c:v>3.0288315234839262E-2</c:v>
              </c:pt>
              <c:pt idx="1">
                <c:v>3.0174185626445287E-2</c:v>
              </c:pt>
            </c:numLit>
          </c:yVal>
          <c:smooth val="0"/>
          <c:extLst>
            <c:ext xmlns:c16="http://schemas.microsoft.com/office/drawing/2014/chart" uri="{C3380CC4-5D6E-409C-BE32-E72D297353CC}">
              <c16:uniqueId val="{0000008B-2969-4762-BEA3-9E3C552460D5}"/>
            </c:ext>
          </c:extLst>
        </c:ser>
        <c:ser>
          <c:idx val="117"/>
          <c:order val="117"/>
          <c:tx>
            <c:v>h=105</c:v>
          </c:tx>
          <c:spPr>
            <a:ln w="3175">
              <a:solidFill>
                <a:srgbClr val="808080"/>
              </a:solidFill>
              <a:prstDash val="solid"/>
            </a:ln>
          </c:spPr>
          <c:marker>
            <c:symbol val="none"/>
          </c:marker>
          <c:dLbls>
            <c:dLbl>
              <c:idx val="0"/>
              <c:layout>
                <c:manualLayout>
                  <c:x val="-3.1673228346456757E-2"/>
                  <c:y val="-1.2244599232788228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24.705354355383143</c:v>
              </c:pt>
              <c:pt idx="1">
                <c:v>66</c:v>
              </c:pt>
            </c:numLit>
          </c:xVal>
          <c:yVal>
            <c:numLit>
              <c:formatCode>General</c:formatCode>
              <c:ptCount val="2"/>
              <c:pt idx="0">
                <c:v>3.0546396590574044E-2</c:v>
              </c:pt>
              <c:pt idx="1">
                <c:v>1.4713235966704272E-2</c:v>
              </c:pt>
            </c:numLit>
          </c:yVal>
          <c:smooth val="0"/>
          <c:extLst>
            <c:ext xmlns:c16="http://schemas.microsoft.com/office/drawing/2014/chart" uri="{C3380CC4-5D6E-409C-BE32-E72D297353CC}">
              <c16:uniqueId val="{0000008D-2969-4762-BEA3-9E3C552460D5}"/>
            </c:ext>
          </c:extLst>
        </c:ser>
        <c:ser>
          <c:idx val="118"/>
          <c:order val="118"/>
          <c:tx>
            <c:v>h=106</c:v>
          </c:tx>
          <c:spPr>
            <a:ln w="3175">
              <a:solidFill>
                <a:srgbClr val="808080"/>
              </a:solidFill>
              <a:prstDash val="solid"/>
            </a:ln>
          </c:spPr>
          <c:marker>
            <c:symbol val="none"/>
          </c:marker>
          <c:xVal>
            <c:numLit>
              <c:formatCode>General</c:formatCode>
              <c:ptCount val="2"/>
              <c:pt idx="0">
                <c:v>25.026285232199548</c:v>
              </c:pt>
              <c:pt idx="1">
                <c:v>25.326285232199549</c:v>
              </c:pt>
            </c:numLit>
          </c:xVal>
          <c:yVal>
            <c:numLit>
              <c:formatCode>General</c:formatCode>
              <c:ptCount val="2"/>
              <c:pt idx="0">
                <c:v>3.0804477946308827E-2</c:v>
              </c:pt>
              <c:pt idx="1">
                <c:v>3.069035025177989E-2</c:v>
              </c:pt>
            </c:numLit>
          </c:yVal>
          <c:smooth val="0"/>
          <c:extLst>
            <c:ext xmlns:c16="http://schemas.microsoft.com/office/drawing/2014/chart" uri="{C3380CC4-5D6E-409C-BE32-E72D297353CC}">
              <c16:uniqueId val="{0000008E-2969-4762-BEA3-9E3C552460D5}"/>
            </c:ext>
          </c:extLst>
        </c:ser>
        <c:ser>
          <c:idx val="119"/>
          <c:order val="119"/>
          <c:tx>
            <c:v>h=107</c:v>
          </c:tx>
          <c:spPr>
            <a:ln w="3175">
              <a:solidFill>
                <a:srgbClr val="808080"/>
              </a:solidFill>
              <a:prstDash val="solid"/>
            </a:ln>
          </c:spPr>
          <c:marker>
            <c:symbol val="none"/>
          </c:marker>
          <c:xVal>
            <c:numLit>
              <c:formatCode>General</c:formatCode>
              <c:ptCount val="2"/>
              <c:pt idx="0">
                <c:v>25.347216109015953</c:v>
              </c:pt>
              <c:pt idx="1">
                <c:v>25.647216109015954</c:v>
              </c:pt>
            </c:numLit>
          </c:xVal>
          <c:yVal>
            <c:numLit>
              <c:formatCode>General</c:formatCode>
              <c:ptCount val="2"/>
              <c:pt idx="0">
                <c:v>3.1062559302043612E-2</c:v>
              </c:pt>
              <c:pt idx="1">
                <c:v>3.0948432540572078E-2</c:v>
              </c:pt>
            </c:numLit>
          </c:yVal>
          <c:smooth val="0"/>
          <c:extLst>
            <c:ext xmlns:c16="http://schemas.microsoft.com/office/drawing/2014/chart" uri="{C3380CC4-5D6E-409C-BE32-E72D297353CC}">
              <c16:uniqueId val="{0000008F-2969-4762-BEA3-9E3C552460D5}"/>
            </c:ext>
          </c:extLst>
        </c:ser>
        <c:ser>
          <c:idx val="120"/>
          <c:order val="120"/>
          <c:tx>
            <c:v>h=108</c:v>
          </c:tx>
          <c:spPr>
            <a:ln w="3175">
              <a:solidFill>
                <a:srgbClr val="808080"/>
              </a:solidFill>
              <a:prstDash val="solid"/>
            </a:ln>
          </c:spPr>
          <c:marker>
            <c:symbol val="none"/>
          </c:marker>
          <c:xVal>
            <c:numLit>
              <c:formatCode>General</c:formatCode>
              <c:ptCount val="2"/>
              <c:pt idx="0">
                <c:v>25.668146985832362</c:v>
              </c:pt>
              <c:pt idx="1">
                <c:v>25.968146985832359</c:v>
              </c:pt>
            </c:numLit>
          </c:xVal>
          <c:yVal>
            <c:numLit>
              <c:formatCode>General</c:formatCode>
              <c:ptCount val="2"/>
              <c:pt idx="0">
                <c:v>3.1320640657778398E-2</c:v>
              </c:pt>
              <c:pt idx="1">
                <c:v>3.120651481397264E-2</c:v>
              </c:pt>
            </c:numLit>
          </c:yVal>
          <c:smooth val="0"/>
          <c:extLst>
            <c:ext xmlns:c16="http://schemas.microsoft.com/office/drawing/2014/chart" uri="{C3380CC4-5D6E-409C-BE32-E72D297353CC}">
              <c16:uniqueId val="{00000090-2969-4762-BEA3-9E3C552460D5}"/>
            </c:ext>
          </c:extLst>
        </c:ser>
        <c:ser>
          <c:idx val="121"/>
          <c:order val="121"/>
          <c:tx>
            <c:v>h=109</c:v>
          </c:tx>
          <c:spPr>
            <a:ln w="3175">
              <a:solidFill>
                <a:srgbClr val="808080"/>
              </a:solidFill>
              <a:prstDash val="solid"/>
            </a:ln>
          </c:spPr>
          <c:marker>
            <c:symbol val="none"/>
          </c:marker>
          <c:xVal>
            <c:numLit>
              <c:formatCode>General</c:formatCode>
              <c:ptCount val="2"/>
              <c:pt idx="0">
                <c:v>25.989077862648767</c:v>
              </c:pt>
              <c:pt idx="1">
                <c:v>26.289077862648767</c:v>
              </c:pt>
            </c:numLit>
          </c:xVal>
          <c:yVal>
            <c:numLit>
              <c:formatCode>General</c:formatCode>
              <c:ptCount val="2"/>
              <c:pt idx="0">
                <c:v>3.157872201351318E-2</c:v>
              </c:pt>
              <c:pt idx="1">
                <c:v>3.146459707235931E-2</c:v>
              </c:pt>
            </c:numLit>
          </c:yVal>
          <c:smooth val="0"/>
          <c:extLst>
            <c:ext xmlns:c16="http://schemas.microsoft.com/office/drawing/2014/chart" uri="{C3380CC4-5D6E-409C-BE32-E72D297353CC}">
              <c16:uniqueId val="{00000091-2969-4762-BEA3-9E3C552460D5}"/>
            </c:ext>
          </c:extLst>
        </c:ser>
        <c:ser>
          <c:idx val="122"/>
          <c:order val="122"/>
          <c:tx>
            <c:v>h=110</c:v>
          </c:tx>
          <c:spPr>
            <a:ln w="3175">
              <a:solidFill>
                <a:srgbClr val="808080"/>
              </a:solidFill>
              <a:prstDash val="solid"/>
            </a:ln>
          </c:spPr>
          <c:marker>
            <c:symbol val="none"/>
          </c:marker>
          <c:dLbls>
            <c:dLbl>
              <c:idx val="0"/>
              <c:layout>
                <c:manualLayout>
                  <c:x val="-3.1673228346456757E-2"/>
                  <c:y val="-1.2244599232788209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2-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26.310008739465172</c:v>
              </c:pt>
              <c:pt idx="1">
                <c:v>66</c:v>
              </c:pt>
            </c:numLit>
          </c:xVal>
          <c:yVal>
            <c:numLit>
              <c:formatCode>General</c:formatCode>
              <c:ptCount val="2"/>
              <c:pt idx="0">
                <c:v>3.1836803369247962E-2</c:v>
              </c:pt>
              <c:pt idx="1">
                <c:v>1.6618898069945421E-2</c:v>
              </c:pt>
            </c:numLit>
          </c:yVal>
          <c:smooth val="0"/>
          <c:extLst>
            <c:ext xmlns:c16="http://schemas.microsoft.com/office/drawing/2014/chart" uri="{C3380CC4-5D6E-409C-BE32-E72D297353CC}">
              <c16:uniqueId val="{00000093-2969-4762-BEA3-9E3C552460D5}"/>
            </c:ext>
          </c:extLst>
        </c:ser>
        <c:ser>
          <c:idx val="123"/>
          <c:order val="123"/>
          <c:tx>
            <c:v>h=111</c:v>
          </c:tx>
          <c:spPr>
            <a:ln w="3175">
              <a:solidFill>
                <a:srgbClr val="808080"/>
              </a:solidFill>
              <a:prstDash val="solid"/>
            </a:ln>
          </c:spPr>
          <c:marker>
            <c:symbol val="none"/>
          </c:marker>
          <c:xVal>
            <c:numLit>
              <c:formatCode>General</c:formatCode>
              <c:ptCount val="2"/>
              <c:pt idx="0">
                <c:v>26.630939616281577</c:v>
              </c:pt>
              <c:pt idx="1">
                <c:v>26.930939616281577</c:v>
              </c:pt>
            </c:numLit>
          </c:xVal>
          <c:yVal>
            <c:numLit>
              <c:formatCode>General</c:formatCode>
              <c:ptCount val="2"/>
              <c:pt idx="0">
                <c:v>3.2094884724982745E-2</c:v>
              </c:pt>
              <c:pt idx="1">
                <c:v>3.1980761545541088E-2</c:v>
              </c:pt>
            </c:numLit>
          </c:yVal>
          <c:smooth val="0"/>
          <c:extLst>
            <c:ext xmlns:c16="http://schemas.microsoft.com/office/drawing/2014/chart" uri="{C3380CC4-5D6E-409C-BE32-E72D297353CC}">
              <c16:uniqueId val="{00000094-2969-4762-BEA3-9E3C552460D5}"/>
            </c:ext>
          </c:extLst>
        </c:ser>
        <c:ser>
          <c:idx val="124"/>
          <c:order val="124"/>
          <c:tx>
            <c:v>h=112</c:v>
          </c:tx>
          <c:spPr>
            <a:ln w="3175">
              <a:solidFill>
                <a:srgbClr val="808080"/>
              </a:solidFill>
              <a:prstDash val="solid"/>
            </a:ln>
          </c:spPr>
          <c:marker>
            <c:symbol val="none"/>
          </c:marker>
          <c:xVal>
            <c:numLit>
              <c:formatCode>General</c:formatCode>
              <c:ptCount val="2"/>
              <c:pt idx="0">
                <c:v>26.951870493097985</c:v>
              </c:pt>
              <c:pt idx="1">
                <c:v>27.251870493097986</c:v>
              </c:pt>
            </c:numLit>
          </c:xVal>
          <c:yVal>
            <c:numLit>
              <c:formatCode>General</c:formatCode>
              <c:ptCount val="2"/>
              <c:pt idx="0">
                <c:v>3.2352966080717527E-2</c:v>
              </c:pt>
              <c:pt idx="1">
                <c:v>3.2238843761032324E-2</c:v>
              </c:pt>
            </c:numLit>
          </c:yVal>
          <c:smooth val="0"/>
          <c:extLst>
            <c:ext xmlns:c16="http://schemas.microsoft.com/office/drawing/2014/chart" uri="{C3380CC4-5D6E-409C-BE32-E72D297353CC}">
              <c16:uniqueId val="{00000095-2969-4762-BEA3-9E3C552460D5}"/>
            </c:ext>
          </c:extLst>
        </c:ser>
        <c:ser>
          <c:idx val="125"/>
          <c:order val="125"/>
          <c:tx>
            <c:v>h=113</c:v>
          </c:tx>
          <c:spPr>
            <a:ln w="3175">
              <a:solidFill>
                <a:srgbClr val="808080"/>
              </a:solidFill>
              <a:prstDash val="solid"/>
            </a:ln>
          </c:spPr>
          <c:marker>
            <c:symbol val="none"/>
          </c:marker>
          <c:xVal>
            <c:numLit>
              <c:formatCode>General</c:formatCode>
              <c:ptCount val="2"/>
              <c:pt idx="0">
                <c:v>27.27280136991439</c:v>
              </c:pt>
              <c:pt idx="1">
                <c:v>27.572801369914391</c:v>
              </c:pt>
            </c:numLit>
          </c:xVal>
          <c:yVal>
            <c:numLit>
              <c:formatCode>General</c:formatCode>
              <c:ptCount val="2"/>
              <c:pt idx="0">
                <c:v>3.2611047436452309E-2</c:v>
              </c:pt>
              <c:pt idx="1">
                <c:v>3.2496925962902816E-2</c:v>
              </c:pt>
            </c:numLit>
          </c:yVal>
          <c:smooth val="0"/>
          <c:extLst>
            <c:ext xmlns:c16="http://schemas.microsoft.com/office/drawing/2014/chart" uri="{C3380CC4-5D6E-409C-BE32-E72D297353CC}">
              <c16:uniqueId val="{00000096-2969-4762-BEA3-9E3C552460D5}"/>
            </c:ext>
          </c:extLst>
        </c:ser>
        <c:ser>
          <c:idx val="126"/>
          <c:order val="126"/>
          <c:tx>
            <c:v>h=114</c:v>
          </c:tx>
          <c:spPr>
            <a:ln w="3175">
              <a:solidFill>
                <a:srgbClr val="808080"/>
              </a:solidFill>
              <a:prstDash val="solid"/>
            </a:ln>
          </c:spPr>
          <c:marker>
            <c:symbol val="none"/>
          </c:marker>
          <c:xVal>
            <c:numLit>
              <c:formatCode>General</c:formatCode>
              <c:ptCount val="2"/>
              <c:pt idx="0">
                <c:v>27.593732246730795</c:v>
              </c:pt>
              <c:pt idx="1">
                <c:v>27.893732246730796</c:v>
              </c:pt>
            </c:numLit>
          </c:xVal>
          <c:yVal>
            <c:numLit>
              <c:formatCode>General</c:formatCode>
              <c:ptCount val="2"/>
              <c:pt idx="0">
                <c:v>3.2869128792187098E-2</c:v>
              </c:pt>
              <c:pt idx="1">
                <c:v>3.2755008151473704E-2</c:v>
              </c:pt>
            </c:numLit>
          </c:yVal>
          <c:smooth val="0"/>
          <c:extLst>
            <c:ext xmlns:c16="http://schemas.microsoft.com/office/drawing/2014/chart" uri="{C3380CC4-5D6E-409C-BE32-E72D297353CC}">
              <c16:uniqueId val="{00000097-2969-4762-BEA3-9E3C552460D5}"/>
            </c:ext>
          </c:extLst>
        </c:ser>
        <c:ser>
          <c:idx val="127"/>
          <c:order val="127"/>
          <c:tx>
            <c:v>h=115</c:v>
          </c:tx>
          <c:spPr>
            <a:ln w="3175">
              <a:solidFill>
                <a:srgbClr val="808080"/>
              </a:solidFill>
              <a:prstDash val="solid"/>
            </a:ln>
          </c:spPr>
          <c:marker>
            <c:symbol val="none"/>
          </c:marker>
          <c:dLbls>
            <c:dLbl>
              <c:idx val="0"/>
              <c:layout>
                <c:manualLayout>
                  <c:x val="-3.1673228346456757E-2"/>
                  <c:y val="-1.2244599232788209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8-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27.914663123547204</c:v>
              </c:pt>
              <c:pt idx="1">
                <c:v>66</c:v>
              </c:pt>
            </c:numLit>
          </c:xVal>
          <c:yVal>
            <c:numLit>
              <c:formatCode>General</c:formatCode>
              <c:ptCount val="2"/>
              <c:pt idx="0">
                <c:v>3.312721014792188E-2</c:v>
              </c:pt>
              <c:pt idx="1">
                <c:v>1.8524560173186572E-2</c:v>
              </c:pt>
            </c:numLit>
          </c:yVal>
          <c:smooth val="0"/>
          <c:extLst>
            <c:ext xmlns:c16="http://schemas.microsoft.com/office/drawing/2014/chart" uri="{C3380CC4-5D6E-409C-BE32-E72D297353CC}">
              <c16:uniqueId val="{00000099-2969-4762-BEA3-9E3C552460D5}"/>
            </c:ext>
          </c:extLst>
        </c:ser>
        <c:ser>
          <c:idx val="128"/>
          <c:order val="128"/>
          <c:tx>
            <c:v>h=116</c:v>
          </c:tx>
          <c:spPr>
            <a:ln w="3175">
              <a:solidFill>
                <a:srgbClr val="808080"/>
              </a:solidFill>
              <a:prstDash val="solid"/>
            </a:ln>
          </c:spPr>
          <c:marker>
            <c:symbol val="none"/>
          </c:marker>
          <c:xVal>
            <c:numLit>
              <c:formatCode>General</c:formatCode>
              <c:ptCount val="2"/>
              <c:pt idx="0">
                <c:v>28.235594000363609</c:v>
              </c:pt>
              <c:pt idx="1">
                <c:v>28.535594000363609</c:v>
              </c:pt>
            </c:numLit>
          </c:xVal>
          <c:yVal>
            <c:numLit>
              <c:formatCode>General</c:formatCode>
              <c:ptCount val="2"/>
              <c:pt idx="0">
                <c:v>3.3385291503656662E-2</c:v>
              </c:pt>
              <c:pt idx="1">
                <c:v>3.3271172489951512E-2</c:v>
              </c:pt>
            </c:numLit>
          </c:yVal>
          <c:smooth val="0"/>
          <c:extLst>
            <c:ext xmlns:c16="http://schemas.microsoft.com/office/drawing/2014/chart" uri="{C3380CC4-5D6E-409C-BE32-E72D297353CC}">
              <c16:uniqueId val="{0000009A-2969-4762-BEA3-9E3C552460D5}"/>
            </c:ext>
          </c:extLst>
        </c:ser>
        <c:ser>
          <c:idx val="129"/>
          <c:order val="129"/>
          <c:tx>
            <c:v>h=117</c:v>
          </c:tx>
          <c:spPr>
            <a:ln w="3175">
              <a:solidFill>
                <a:srgbClr val="808080"/>
              </a:solidFill>
              <a:prstDash val="solid"/>
            </a:ln>
          </c:spPr>
          <c:marker>
            <c:symbol val="none"/>
          </c:marker>
          <c:xVal>
            <c:numLit>
              <c:formatCode>General</c:formatCode>
              <c:ptCount val="2"/>
              <c:pt idx="0">
                <c:v>28.556524877180014</c:v>
              </c:pt>
              <c:pt idx="1">
                <c:v>28.856524877180014</c:v>
              </c:pt>
            </c:numLit>
          </c:xVal>
          <c:yVal>
            <c:numLit>
              <c:formatCode>General</c:formatCode>
              <c:ptCount val="2"/>
              <c:pt idx="0">
                <c:v>3.3643372859391445E-2</c:v>
              </c:pt>
              <c:pt idx="1">
                <c:v>3.3529254640452158E-2</c:v>
              </c:pt>
            </c:numLit>
          </c:yVal>
          <c:smooth val="0"/>
          <c:extLst>
            <c:ext xmlns:c16="http://schemas.microsoft.com/office/drawing/2014/chart" uri="{C3380CC4-5D6E-409C-BE32-E72D297353CC}">
              <c16:uniqueId val="{0000009B-2969-4762-BEA3-9E3C552460D5}"/>
            </c:ext>
          </c:extLst>
        </c:ser>
        <c:ser>
          <c:idx val="130"/>
          <c:order val="130"/>
          <c:tx>
            <c:v>h=118</c:v>
          </c:tx>
          <c:spPr>
            <a:ln w="3175">
              <a:solidFill>
                <a:srgbClr val="808080"/>
              </a:solidFill>
              <a:prstDash val="solid"/>
            </a:ln>
          </c:spPr>
          <c:marker>
            <c:symbol val="none"/>
          </c:marker>
          <c:xVal>
            <c:numLit>
              <c:formatCode>General</c:formatCode>
              <c:ptCount val="2"/>
              <c:pt idx="0">
                <c:v>28.877455753996419</c:v>
              </c:pt>
              <c:pt idx="1">
                <c:v>29.177455753996419</c:v>
              </c:pt>
            </c:numLit>
          </c:xVal>
          <c:yVal>
            <c:numLit>
              <c:formatCode>General</c:formatCode>
              <c:ptCount val="2"/>
              <c:pt idx="0">
                <c:v>3.3901454215126227E-2</c:v>
              </c:pt>
              <c:pt idx="1">
                <c:v>3.3787336778841368E-2</c:v>
              </c:pt>
            </c:numLit>
          </c:yVal>
          <c:smooth val="0"/>
          <c:extLst>
            <c:ext xmlns:c16="http://schemas.microsoft.com/office/drawing/2014/chart" uri="{C3380CC4-5D6E-409C-BE32-E72D297353CC}">
              <c16:uniqueId val="{0000009C-2969-4762-BEA3-9E3C552460D5}"/>
            </c:ext>
          </c:extLst>
        </c:ser>
        <c:ser>
          <c:idx val="131"/>
          <c:order val="131"/>
          <c:tx>
            <c:v>h=119</c:v>
          </c:tx>
          <c:spPr>
            <a:ln w="3175">
              <a:solidFill>
                <a:srgbClr val="808080"/>
              </a:solidFill>
              <a:prstDash val="solid"/>
            </a:ln>
          </c:spPr>
          <c:marker>
            <c:symbol val="none"/>
          </c:marker>
          <c:xVal>
            <c:numLit>
              <c:formatCode>General</c:formatCode>
              <c:ptCount val="2"/>
              <c:pt idx="0">
                <c:v>29.198386630812827</c:v>
              </c:pt>
              <c:pt idx="1">
                <c:v>29.498386630812824</c:v>
              </c:pt>
            </c:numLit>
          </c:xVal>
          <c:yVal>
            <c:numLit>
              <c:formatCode>General</c:formatCode>
              <c:ptCount val="2"/>
              <c:pt idx="0">
                <c:v>3.4159535570861016E-2</c:v>
              </c:pt>
              <c:pt idx="1">
                <c:v>3.4045418905393907E-2</c:v>
              </c:pt>
            </c:numLit>
          </c:yVal>
          <c:smooth val="0"/>
          <c:extLst>
            <c:ext xmlns:c16="http://schemas.microsoft.com/office/drawing/2014/chart" uri="{C3380CC4-5D6E-409C-BE32-E72D297353CC}">
              <c16:uniqueId val="{0000009D-2969-4762-BEA3-9E3C552460D5}"/>
            </c:ext>
          </c:extLst>
        </c:ser>
        <c:ser>
          <c:idx val="132"/>
          <c:order val="132"/>
          <c:tx>
            <c:v>h=120</c:v>
          </c:tx>
          <c:spPr>
            <a:ln w="3175">
              <a:solidFill>
                <a:srgbClr val="808080"/>
              </a:solidFill>
              <a:prstDash val="solid"/>
            </a:ln>
          </c:spPr>
          <c:marker>
            <c:symbol val="none"/>
          </c:marker>
          <c:dLbls>
            <c:dLbl>
              <c:idx val="0"/>
              <c:layout>
                <c:manualLayout>
                  <c:x val="-5.208333333333333E-3"/>
                  <c:y val="1.3594454539336429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29.519317507629232</c:v>
              </c:pt>
              <c:pt idx="1">
                <c:v>66</c:v>
              </c:pt>
            </c:numLit>
          </c:xVal>
          <c:yVal>
            <c:numLit>
              <c:formatCode>General</c:formatCode>
              <c:ptCount val="2"/>
              <c:pt idx="0">
                <c:v>3.4417616926595798E-2</c:v>
              </c:pt>
              <c:pt idx="1">
                <c:v>2.0430222276427722E-2</c:v>
              </c:pt>
            </c:numLit>
          </c:yVal>
          <c:smooth val="0"/>
          <c:extLst>
            <c:ext xmlns:c16="http://schemas.microsoft.com/office/drawing/2014/chart" uri="{C3380CC4-5D6E-409C-BE32-E72D297353CC}">
              <c16:uniqueId val="{0000009F-2969-4762-BEA3-9E3C552460D5}"/>
            </c:ext>
          </c:extLst>
        </c:ser>
        <c:ser>
          <c:idx val="133"/>
          <c:order val="133"/>
          <c:tx>
            <c:v>h=121</c:v>
          </c:tx>
          <c:spPr>
            <a:ln w="3175">
              <a:solidFill>
                <a:srgbClr val="808080"/>
              </a:solidFill>
              <a:prstDash val="solid"/>
            </a:ln>
          </c:spPr>
          <c:marker>
            <c:symbol val="none"/>
          </c:marker>
          <c:xVal>
            <c:numLit>
              <c:formatCode>General</c:formatCode>
              <c:ptCount val="2"/>
              <c:pt idx="0">
                <c:v>29.840248384445637</c:v>
              </c:pt>
              <c:pt idx="1">
                <c:v>30.140248384445638</c:v>
              </c:pt>
            </c:numLit>
          </c:xVal>
          <c:yVal>
            <c:numLit>
              <c:formatCode>General</c:formatCode>
              <c:ptCount val="2"/>
              <c:pt idx="0">
                <c:v>3.467569828233058E-2</c:v>
              </c:pt>
              <c:pt idx="1">
                <c:v>3.4561583124047016E-2</c:v>
              </c:pt>
            </c:numLit>
          </c:yVal>
          <c:smooth val="0"/>
          <c:extLst>
            <c:ext xmlns:c16="http://schemas.microsoft.com/office/drawing/2014/chart" uri="{C3380CC4-5D6E-409C-BE32-E72D297353CC}">
              <c16:uniqueId val="{000000A0-2969-4762-BEA3-9E3C552460D5}"/>
            </c:ext>
          </c:extLst>
        </c:ser>
        <c:ser>
          <c:idx val="134"/>
          <c:order val="134"/>
          <c:tx>
            <c:v>h=122</c:v>
          </c:tx>
          <c:spPr>
            <a:ln w="3175">
              <a:solidFill>
                <a:srgbClr val="808080"/>
              </a:solidFill>
              <a:prstDash val="solid"/>
            </a:ln>
          </c:spPr>
          <c:marker>
            <c:symbol val="none"/>
          </c:marker>
          <c:xVal>
            <c:numLit>
              <c:formatCode>General</c:formatCode>
              <c:ptCount val="2"/>
              <c:pt idx="0">
                <c:v>30.161179261262046</c:v>
              </c:pt>
              <c:pt idx="1">
                <c:v>30.461179261262043</c:v>
              </c:pt>
            </c:numLit>
          </c:xVal>
          <c:yVal>
            <c:numLit>
              <c:formatCode>General</c:formatCode>
              <c:ptCount val="2"/>
              <c:pt idx="0">
                <c:v>3.4933779638065363E-2</c:v>
              </c:pt>
              <c:pt idx="1">
                <c:v>3.4819665216657088E-2</c:v>
              </c:pt>
            </c:numLit>
          </c:yVal>
          <c:smooth val="0"/>
          <c:extLst>
            <c:ext xmlns:c16="http://schemas.microsoft.com/office/drawing/2014/chart" uri="{C3380CC4-5D6E-409C-BE32-E72D297353CC}">
              <c16:uniqueId val="{000000A1-2969-4762-BEA3-9E3C552460D5}"/>
            </c:ext>
          </c:extLst>
        </c:ser>
        <c:ser>
          <c:idx val="135"/>
          <c:order val="135"/>
          <c:tx>
            <c:v>h=123</c:v>
          </c:tx>
          <c:spPr>
            <a:ln w="3175">
              <a:solidFill>
                <a:srgbClr val="808080"/>
              </a:solidFill>
              <a:prstDash val="solid"/>
            </a:ln>
          </c:spPr>
          <c:marker>
            <c:symbol val="none"/>
          </c:marker>
          <c:xVal>
            <c:numLit>
              <c:formatCode>General</c:formatCode>
              <c:ptCount val="2"/>
              <c:pt idx="0">
                <c:v>30.48211013807845</c:v>
              </c:pt>
              <c:pt idx="1">
                <c:v>30.782110138078451</c:v>
              </c:pt>
            </c:numLit>
          </c:xVal>
          <c:yVal>
            <c:numLit>
              <c:formatCode>General</c:formatCode>
              <c:ptCount val="2"/>
              <c:pt idx="0">
                <c:v>3.5191860993800145E-2</c:v>
              </c:pt>
              <c:pt idx="1">
                <c:v>3.5077747298450014E-2</c:v>
              </c:pt>
            </c:numLit>
          </c:yVal>
          <c:smooth val="0"/>
          <c:extLst>
            <c:ext xmlns:c16="http://schemas.microsoft.com/office/drawing/2014/chart" uri="{C3380CC4-5D6E-409C-BE32-E72D297353CC}">
              <c16:uniqueId val="{000000A2-2969-4762-BEA3-9E3C552460D5}"/>
            </c:ext>
          </c:extLst>
        </c:ser>
        <c:ser>
          <c:idx val="136"/>
          <c:order val="136"/>
          <c:tx>
            <c:v>h=124</c:v>
          </c:tx>
          <c:spPr>
            <a:ln w="3175">
              <a:solidFill>
                <a:srgbClr val="808080"/>
              </a:solidFill>
              <a:prstDash val="solid"/>
            </a:ln>
          </c:spPr>
          <c:marker>
            <c:symbol val="none"/>
          </c:marker>
          <c:xVal>
            <c:numLit>
              <c:formatCode>General</c:formatCode>
              <c:ptCount val="2"/>
              <c:pt idx="0">
                <c:v>30.803041014894855</c:v>
              </c:pt>
              <c:pt idx="1">
                <c:v>31.103041014894856</c:v>
              </c:pt>
            </c:numLit>
          </c:xVal>
          <c:yVal>
            <c:numLit>
              <c:formatCode>General</c:formatCode>
              <c:ptCount val="2"/>
              <c:pt idx="0">
                <c:v>3.5449942349534934E-2</c:v>
              </c:pt>
              <c:pt idx="1">
                <c:v>3.5335829369662272E-2</c:v>
              </c:pt>
            </c:numLit>
          </c:yVal>
          <c:smooth val="0"/>
          <c:extLst>
            <c:ext xmlns:c16="http://schemas.microsoft.com/office/drawing/2014/chart" uri="{C3380CC4-5D6E-409C-BE32-E72D297353CC}">
              <c16:uniqueId val="{000000A3-2969-4762-BEA3-9E3C552460D5}"/>
            </c:ext>
          </c:extLst>
        </c:ser>
        <c:ser>
          <c:idx val="137"/>
          <c:order val="137"/>
          <c:tx>
            <c:v>h=125</c:v>
          </c:tx>
          <c:spPr>
            <a:ln w="3175">
              <a:solidFill>
                <a:srgbClr val="808080"/>
              </a:solidFill>
              <a:prstDash val="solid"/>
            </a:ln>
          </c:spPr>
          <c:marker>
            <c:symbol val="none"/>
          </c:marker>
          <c:dLbls>
            <c:dLbl>
              <c:idx val="0"/>
              <c:layout>
                <c:manualLayout>
                  <c:x val="-5.2083333333333972E-3"/>
                  <c:y val="2.1367521367521368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4-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31.12397189171126</c:v>
              </c:pt>
              <c:pt idx="1">
                <c:v>66</c:v>
              </c:pt>
            </c:numLit>
          </c:xVal>
          <c:yVal>
            <c:numLit>
              <c:formatCode>General</c:formatCode>
              <c:ptCount val="2"/>
              <c:pt idx="0">
                <c:v>3.5708023705269716E-2</c:v>
              </c:pt>
              <c:pt idx="1">
                <c:v>2.2335884379668873E-2</c:v>
              </c:pt>
            </c:numLit>
          </c:yVal>
          <c:smooth val="0"/>
          <c:extLst>
            <c:ext xmlns:c16="http://schemas.microsoft.com/office/drawing/2014/chart" uri="{C3380CC4-5D6E-409C-BE32-E72D297353CC}">
              <c16:uniqueId val="{000000A5-2969-4762-BEA3-9E3C552460D5}"/>
            </c:ext>
          </c:extLst>
        </c:ser>
        <c:ser>
          <c:idx val="138"/>
          <c:order val="138"/>
          <c:tx>
            <c:v>h=126</c:v>
          </c:tx>
          <c:spPr>
            <a:ln w="3175">
              <a:solidFill>
                <a:srgbClr val="808080"/>
              </a:solidFill>
              <a:prstDash val="solid"/>
            </a:ln>
          </c:spPr>
          <c:marker>
            <c:symbol val="none"/>
          </c:marker>
          <c:xVal>
            <c:numLit>
              <c:formatCode>General</c:formatCode>
              <c:ptCount val="2"/>
              <c:pt idx="0">
                <c:v>31.444902768527669</c:v>
              </c:pt>
              <c:pt idx="1">
                <c:v>31.744902768527666</c:v>
              </c:pt>
            </c:numLit>
          </c:xVal>
          <c:yVal>
            <c:numLit>
              <c:formatCode>General</c:formatCode>
              <c:ptCount val="2"/>
              <c:pt idx="0">
                <c:v>3.5966105061004498E-2</c:v>
              </c:pt>
              <c:pt idx="1">
                <c:v>3.5851993481256582E-2</c:v>
              </c:pt>
            </c:numLit>
          </c:yVal>
          <c:smooth val="0"/>
          <c:extLst>
            <c:ext xmlns:c16="http://schemas.microsoft.com/office/drawing/2014/chart" uri="{C3380CC4-5D6E-409C-BE32-E72D297353CC}">
              <c16:uniqueId val="{000000A6-2969-4762-BEA3-9E3C552460D5}"/>
            </c:ext>
          </c:extLst>
        </c:ser>
        <c:ser>
          <c:idx val="139"/>
          <c:order val="139"/>
          <c:tx>
            <c:v>h=127</c:v>
          </c:tx>
          <c:spPr>
            <a:ln w="3175">
              <a:solidFill>
                <a:srgbClr val="808080"/>
              </a:solidFill>
              <a:prstDash val="solid"/>
            </a:ln>
          </c:spPr>
          <c:marker>
            <c:symbol val="none"/>
          </c:marker>
          <c:xVal>
            <c:numLit>
              <c:formatCode>General</c:formatCode>
              <c:ptCount val="2"/>
              <c:pt idx="0">
                <c:v>31.765833645344074</c:v>
              </c:pt>
              <c:pt idx="1">
                <c:v>32.065833645344071</c:v>
              </c:pt>
            </c:numLit>
          </c:xVal>
          <c:yVal>
            <c:numLit>
              <c:formatCode>General</c:formatCode>
              <c:ptCount val="2"/>
              <c:pt idx="0">
                <c:v>3.622418641673928E-2</c:v>
              </c:pt>
              <c:pt idx="1">
                <c:v>3.611007552207831E-2</c:v>
              </c:pt>
            </c:numLit>
          </c:yVal>
          <c:smooth val="0"/>
          <c:extLst>
            <c:ext xmlns:c16="http://schemas.microsoft.com/office/drawing/2014/chart" uri="{C3380CC4-5D6E-409C-BE32-E72D297353CC}">
              <c16:uniqueId val="{000000A7-2969-4762-BEA3-9E3C552460D5}"/>
            </c:ext>
          </c:extLst>
        </c:ser>
        <c:ser>
          <c:idx val="140"/>
          <c:order val="140"/>
          <c:tx>
            <c:v>h=128</c:v>
          </c:tx>
          <c:spPr>
            <a:ln w="3175">
              <a:solidFill>
                <a:srgbClr val="808080"/>
              </a:solidFill>
              <a:prstDash val="solid"/>
            </a:ln>
          </c:spPr>
          <c:marker>
            <c:symbol val="none"/>
          </c:marker>
          <c:xVal>
            <c:numLit>
              <c:formatCode>General</c:formatCode>
              <c:ptCount val="2"/>
              <c:pt idx="0">
                <c:v>32.086764522160479</c:v>
              </c:pt>
              <c:pt idx="1">
                <c:v>32.386764522160483</c:v>
              </c:pt>
            </c:numLit>
          </c:xVal>
          <c:yVal>
            <c:numLit>
              <c:formatCode>General</c:formatCode>
              <c:ptCount val="2"/>
              <c:pt idx="0">
                <c:v>3.6482267772474063E-2</c:v>
              </c:pt>
              <c:pt idx="1">
                <c:v>3.6368157553199151E-2</c:v>
              </c:pt>
            </c:numLit>
          </c:yVal>
          <c:smooth val="0"/>
          <c:extLst>
            <c:ext xmlns:c16="http://schemas.microsoft.com/office/drawing/2014/chart" uri="{C3380CC4-5D6E-409C-BE32-E72D297353CC}">
              <c16:uniqueId val="{000000A8-2969-4762-BEA3-9E3C552460D5}"/>
            </c:ext>
          </c:extLst>
        </c:ser>
        <c:ser>
          <c:idx val="141"/>
          <c:order val="141"/>
          <c:tx>
            <c:v>h=129</c:v>
          </c:tx>
          <c:spPr>
            <a:ln w="3175">
              <a:solidFill>
                <a:srgbClr val="808080"/>
              </a:solidFill>
              <a:prstDash val="solid"/>
            </a:ln>
          </c:spPr>
          <c:marker>
            <c:symbol val="none"/>
          </c:marker>
          <c:xVal>
            <c:numLit>
              <c:formatCode>General</c:formatCode>
              <c:ptCount val="2"/>
              <c:pt idx="0">
                <c:v>32.407695398976884</c:v>
              </c:pt>
              <c:pt idx="1">
                <c:v>32.707695398976888</c:v>
              </c:pt>
            </c:numLit>
          </c:xVal>
          <c:yVal>
            <c:numLit>
              <c:formatCode>General</c:formatCode>
              <c:ptCount val="2"/>
              <c:pt idx="0">
                <c:v>3.6740349128208845E-2</c:v>
              </c:pt>
              <c:pt idx="1">
                <c:v>3.6626239574823721E-2</c:v>
              </c:pt>
            </c:numLit>
          </c:yVal>
          <c:smooth val="0"/>
          <c:extLst>
            <c:ext xmlns:c16="http://schemas.microsoft.com/office/drawing/2014/chart" uri="{C3380CC4-5D6E-409C-BE32-E72D297353CC}">
              <c16:uniqueId val="{000000A9-2969-4762-BEA3-9E3C552460D5}"/>
            </c:ext>
          </c:extLst>
        </c:ser>
        <c:ser>
          <c:idx val="142"/>
          <c:order val="142"/>
          <c:tx>
            <c:v>h=130</c:v>
          </c:tx>
          <c:spPr>
            <a:ln w="3175">
              <a:solidFill>
                <a:srgbClr val="808080"/>
              </a:solidFill>
              <a:prstDash val="solid"/>
            </a:ln>
          </c:spPr>
          <c:marker>
            <c:symbol val="none"/>
          </c:marker>
          <c:dLbls>
            <c:dLbl>
              <c:idx val="0"/>
              <c:layout>
                <c:manualLayout>
                  <c:x val="-5.208333333333333E-3"/>
                  <c:y val="2.1367521367521368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A-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32.728626275793289</c:v>
              </c:pt>
              <c:pt idx="1">
                <c:v>66</c:v>
              </c:pt>
            </c:numLit>
          </c:xVal>
          <c:yVal>
            <c:numLit>
              <c:formatCode>General</c:formatCode>
              <c:ptCount val="2"/>
              <c:pt idx="0">
                <c:v>3.6998430483943634E-2</c:v>
              </c:pt>
              <c:pt idx="1">
                <c:v>2.4241546482910024E-2</c:v>
              </c:pt>
            </c:numLit>
          </c:yVal>
          <c:smooth val="0"/>
          <c:extLst>
            <c:ext xmlns:c16="http://schemas.microsoft.com/office/drawing/2014/chart" uri="{C3380CC4-5D6E-409C-BE32-E72D297353CC}">
              <c16:uniqueId val="{000000AB-2969-4762-BEA3-9E3C552460D5}"/>
            </c:ext>
          </c:extLst>
        </c:ser>
        <c:ser>
          <c:idx val="143"/>
          <c:order val="143"/>
          <c:tx>
            <c:v>h=131</c:v>
          </c:tx>
          <c:spPr>
            <a:ln w="3175">
              <a:solidFill>
                <a:srgbClr val="808080"/>
              </a:solidFill>
              <a:prstDash val="solid"/>
            </a:ln>
          </c:spPr>
          <c:marker>
            <c:symbol val="none"/>
          </c:marker>
          <c:xVal>
            <c:numLit>
              <c:formatCode>General</c:formatCode>
              <c:ptCount val="2"/>
              <c:pt idx="0">
                <c:v>33.049557152609701</c:v>
              </c:pt>
              <c:pt idx="1">
                <c:v>33.349557152609698</c:v>
              </c:pt>
            </c:numLit>
          </c:xVal>
          <c:yVal>
            <c:numLit>
              <c:formatCode>General</c:formatCode>
              <c:ptCount val="2"/>
              <c:pt idx="0">
                <c:v>3.7256511839678416E-2</c:v>
              </c:pt>
              <c:pt idx="1">
                <c:v>3.7142403590374046E-2</c:v>
              </c:pt>
            </c:numLit>
          </c:yVal>
          <c:smooth val="0"/>
          <c:extLst>
            <c:ext xmlns:c16="http://schemas.microsoft.com/office/drawing/2014/chart" uri="{C3380CC4-5D6E-409C-BE32-E72D297353CC}">
              <c16:uniqueId val="{000000AC-2969-4762-BEA3-9E3C552460D5}"/>
            </c:ext>
          </c:extLst>
        </c:ser>
        <c:ser>
          <c:idx val="144"/>
          <c:order val="144"/>
          <c:tx>
            <c:v>h=132</c:v>
          </c:tx>
          <c:spPr>
            <a:ln w="3175">
              <a:solidFill>
                <a:srgbClr val="808080"/>
              </a:solidFill>
              <a:prstDash val="solid"/>
            </a:ln>
          </c:spPr>
          <c:marker>
            <c:symbol val="none"/>
          </c:marker>
          <c:xVal>
            <c:numLit>
              <c:formatCode>General</c:formatCode>
              <c:ptCount val="2"/>
              <c:pt idx="0">
                <c:v>33.370488029426106</c:v>
              </c:pt>
              <c:pt idx="1">
                <c:v>33.670488029426103</c:v>
              </c:pt>
            </c:numLit>
          </c:xVal>
          <c:yVal>
            <c:numLit>
              <c:formatCode>General</c:formatCode>
              <c:ptCount val="2"/>
              <c:pt idx="0">
                <c:v>3.7514593195413198E-2</c:v>
              </c:pt>
              <c:pt idx="1">
                <c:v>3.740048558468121E-2</c:v>
              </c:pt>
            </c:numLit>
          </c:yVal>
          <c:smooth val="0"/>
          <c:extLst>
            <c:ext xmlns:c16="http://schemas.microsoft.com/office/drawing/2014/chart" uri="{C3380CC4-5D6E-409C-BE32-E72D297353CC}">
              <c16:uniqueId val="{000000AD-2969-4762-BEA3-9E3C552460D5}"/>
            </c:ext>
          </c:extLst>
        </c:ser>
        <c:ser>
          <c:idx val="145"/>
          <c:order val="145"/>
          <c:tx>
            <c:v>h=133</c:v>
          </c:tx>
          <c:spPr>
            <a:ln w="3175">
              <a:solidFill>
                <a:srgbClr val="808080"/>
              </a:solidFill>
              <a:prstDash val="solid"/>
            </a:ln>
          </c:spPr>
          <c:marker>
            <c:symbol val="none"/>
          </c:marker>
          <c:xVal>
            <c:numLit>
              <c:formatCode>General</c:formatCode>
              <c:ptCount val="2"/>
              <c:pt idx="0">
                <c:v>33.691418906242511</c:v>
              </c:pt>
              <c:pt idx="1">
                <c:v>33.991418906242508</c:v>
              </c:pt>
            </c:numLit>
          </c:xVal>
          <c:yVal>
            <c:numLit>
              <c:formatCode>General</c:formatCode>
              <c:ptCount val="2"/>
              <c:pt idx="0">
                <c:v>3.7772674551147981E-2</c:v>
              </c:pt>
              <c:pt idx="1">
                <c:v>3.7658567570255305E-2</c:v>
              </c:pt>
            </c:numLit>
          </c:yVal>
          <c:smooth val="0"/>
          <c:extLst>
            <c:ext xmlns:c16="http://schemas.microsoft.com/office/drawing/2014/chart" uri="{C3380CC4-5D6E-409C-BE32-E72D297353CC}">
              <c16:uniqueId val="{000000AE-2969-4762-BEA3-9E3C552460D5}"/>
            </c:ext>
          </c:extLst>
        </c:ser>
        <c:ser>
          <c:idx val="146"/>
          <c:order val="146"/>
          <c:tx>
            <c:v>h=134</c:v>
          </c:tx>
          <c:spPr>
            <a:ln w="3175">
              <a:solidFill>
                <a:srgbClr val="808080"/>
              </a:solidFill>
              <a:prstDash val="solid"/>
            </a:ln>
          </c:spPr>
          <c:marker>
            <c:symbol val="none"/>
          </c:marker>
          <c:xVal>
            <c:numLit>
              <c:formatCode>General</c:formatCode>
              <c:ptCount val="2"/>
              <c:pt idx="0">
                <c:v>34.012349783058916</c:v>
              </c:pt>
              <c:pt idx="1">
                <c:v>34.312349783058913</c:v>
              </c:pt>
            </c:numLit>
          </c:xVal>
          <c:yVal>
            <c:numLit>
              <c:formatCode>General</c:formatCode>
              <c:ptCount val="2"/>
              <c:pt idx="0">
                <c:v>3.8030755906882763E-2</c:v>
              </c:pt>
              <c:pt idx="1">
                <c:v>3.7916649547274243E-2</c:v>
              </c:pt>
            </c:numLit>
          </c:yVal>
          <c:smooth val="0"/>
          <c:extLst>
            <c:ext xmlns:c16="http://schemas.microsoft.com/office/drawing/2014/chart" uri="{C3380CC4-5D6E-409C-BE32-E72D297353CC}">
              <c16:uniqueId val="{000000AF-2969-4762-BEA3-9E3C552460D5}"/>
            </c:ext>
          </c:extLst>
        </c:ser>
        <c:ser>
          <c:idx val="147"/>
          <c:order val="147"/>
          <c:tx>
            <c:v>h=135</c:v>
          </c:tx>
          <c:spPr>
            <a:ln w="3175">
              <a:solidFill>
                <a:srgbClr val="808080"/>
              </a:solidFill>
              <a:prstDash val="solid"/>
            </a:ln>
          </c:spPr>
          <c:marker>
            <c:symbol val="none"/>
          </c:marker>
          <c:dLbls>
            <c:dLbl>
              <c:idx val="0"/>
              <c:layout>
                <c:manualLayout>
                  <c:x val="-5.2083333333334605E-3"/>
                  <c:y val="2.1367521367521368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34.333280659875321</c:v>
              </c:pt>
              <c:pt idx="1">
                <c:v>66</c:v>
              </c:pt>
            </c:numLit>
          </c:xVal>
          <c:yVal>
            <c:numLit>
              <c:formatCode>General</c:formatCode>
              <c:ptCount val="2"/>
              <c:pt idx="0">
                <c:v>3.8288837262617552E-2</c:v>
              </c:pt>
              <c:pt idx="1">
                <c:v>2.6147208586151171E-2</c:v>
              </c:pt>
            </c:numLit>
          </c:yVal>
          <c:smooth val="0"/>
          <c:extLst>
            <c:ext xmlns:c16="http://schemas.microsoft.com/office/drawing/2014/chart" uri="{C3380CC4-5D6E-409C-BE32-E72D297353CC}">
              <c16:uniqueId val="{000000B1-2969-4762-BEA3-9E3C552460D5}"/>
            </c:ext>
          </c:extLst>
        </c:ser>
        <c:ser>
          <c:idx val="148"/>
          <c:order val="148"/>
          <c:tx>
            <c:v>h=136</c:v>
          </c:tx>
          <c:spPr>
            <a:ln w="3175">
              <a:solidFill>
                <a:srgbClr val="808080"/>
              </a:solidFill>
              <a:prstDash val="solid"/>
            </a:ln>
          </c:spPr>
          <c:marker>
            <c:symbol val="none"/>
          </c:marker>
          <c:xVal>
            <c:numLit>
              <c:formatCode>General</c:formatCode>
              <c:ptCount val="2"/>
              <c:pt idx="0">
                <c:v>34.654211536691726</c:v>
              </c:pt>
              <c:pt idx="1">
                <c:v>34.95421153669173</c:v>
              </c:pt>
            </c:numLit>
          </c:xVal>
          <c:yVal>
            <c:numLit>
              <c:formatCode>General</c:formatCode>
              <c:ptCount val="2"/>
              <c:pt idx="0">
                <c:v>3.8546918618352334E-2</c:v>
              </c:pt>
              <c:pt idx="1">
                <c:v>3.8432813476334593E-2</c:v>
              </c:pt>
            </c:numLit>
          </c:yVal>
          <c:smooth val="0"/>
          <c:extLst>
            <c:ext xmlns:c16="http://schemas.microsoft.com/office/drawing/2014/chart" uri="{C3380CC4-5D6E-409C-BE32-E72D297353CC}">
              <c16:uniqueId val="{000000B2-2969-4762-BEA3-9E3C552460D5}"/>
            </c:ext>
          </c:extLst>
        </c:ser>
        <c:ser>
          <c:idx val="149"/>
          <c:order val="149"/>
          <c:tx>
            <c:v>h=137</c:v>
          </c:tx>
          <c:spPr>
            <a:ln w="3175">
              <a:solidFill>
                <a:srgbClr val="808080"/>
              </a:solidFill>
              <a:prstDash val="solid"/>
            </a:ln>
          </c:spPr>
          <c:marker>
            <c:symbol val="none"/>
          </c:marker>
          <c:xVal>
            <c:numLit>
              <c:formatCode>General</c:formatCode>
              <c:ptCount val="2"/>
              <c:pt idx="0">
                <c:v>34.975142413508131</c:v>
              </c:pt>
              <c:pt idx="1">
                <c:v>35.275142413508135</c:v>
              </c:pt>
            </c:numLit>
          </c:xVal>
          <c:yVal>
            <c:numLit>
              <c:formatCode>General</c:formatCode>
              <c:ptCount val="2"/>
              <c:pt idx="0">
                <c:v>3.8804999974087116E-2</c:v>
              </c:pt>
              <c:pt idx="1">
                <c:v>3.8690895428708488E-2</c:v>
              </c:pt>
            </c:numLit>
          </c:yVal>
          <c:smooth val="0"/>
          <c:extLst>
            <c:ext xmlns:c16="http://schemas.microsoft.com/office/drawing/2014/chart" uri="{C3380CC4-5D6E-409C-BE32-E72D297353CC}">
              <c16:uniqueId val="{000000B3-2969-4762-BEA3-9E3C552460D5}"/>
            </c:ext>
          </c:extLst>
        </c:ser>
        <c:ser>
          <c:idx val="150"/>
          <c:order val="150"/>
          <c:tx>
            <c:v>h=138</c:v>
          </c:tx>
          <c:spPr>
            <a:ln w="3175">
              <a:solidFill>
                <a:srgbClr val="808080"/>
              </a:solidFill>
              <a:prstDash val="solid"/>
            </a:ln>
          </c:spPr>
          <c:marker>
            <c:symbol val="none"/>
          </c:marker>
          <c:xVal>
            <c:numLit>
              <c:formatCode>General</c:formatCode>
              <c:ptCount val="2"/>
              <c:pt idx="0">
                <c:v>35.296073290324543</c:v>
              </c:pt>
              <c:pt idx="1">
                <c:v>35.59607329032454</c:v>
              </c:pt>
            </c:numLit>
          </c:xVal>
          <c:yVal>
            <c:numLit>
              <c:formatCode>General</c:formatCode>
              <c:ptCount val="2"/>
              <c:pt idx="0">
                <c:v>3.9063081329821898E-2</c:v>
              </c:pt>
              <c:pt idx="1">
                <c:v>3.8948977373192528E-2</c:v>
              </c:pt>
            </c:numLit>
          </c:yVal>
          <c:smooth val="0"/>
          <c:extLst>
            <c:ext xmlns:c16="http://schemas.microsoft.com/office/drawing/2014/chart" uri="{C3380CC4-5D6E-409C-BE32-E72D297353CC}">
              <c16:uniqueId val="{000000B4-2969-4762-BEA3-9E3C552460D5}"/>
            </c:ext>
          </c:extLst>
        </c:ser>
        <c:ser>
          <c:idx val="151"/>
          <c:order val="151"/>
          <c:tx>
            <c:v>h=139</c:v>
          </c:tx>
          <c:spPr>
            <a:ln w="3175">
              <a:solidFill>
                <a:srgbClr val="808080"/>
              </a:solidFill>
              <a:prstDash val="solid"/>
            </a:ln>
          </c:spPr>
          <c:marker>
            <c:symbol val="none"/>
          </c:marker>
          <c:xVal>
            <c:numLit>
              <c:formatCode>General</c:formatCode>
              <c:ptCount val="2"/>
              <c:pt idx="0">
                <c:v>35.617004167140948</c:v>
              </c:pt>
              <c:pt idx="1">
                <c:v>35.917004167140945</c:v>
              </c:pt>
            </c:numLit>
          </c:xVal>
          <c:yVal>
            <c:numLit>
              <c:formatCode>General</c:formatCode>
              <c:ptCount val="2"/>
              <c:pt idx="0">
                <c:v>3.9321162685556681E-2</c:v>
              </c:pt>
              <c:pt idx="1">
                <c:v>3.9207059309942199E-2</c:v>
              </c:pt>
            </c:numLit>
          </c:yVal>
          <c:smooth val="0"/>
          <c:extLst>
            <c:ext xmlns:c16="http://schemas.microsoft.com/office/drawing/2014/chart" uri="{C3380CC4-5D6E-409C-BE32-E72D297353CC}">
              <c16:uniqueId val="{000000B5-2969-4762-BEA3-9E3C552460D5}"/>
            </c:ext>
          </c:extLst>
        </c:ser>
        <c:ser>
          <c:idx val="152"/>
          <c:order val="152"/>
          <c:tx>
            <c:v>h=140</c:v>
          </c:tx>
          <c:spPr>
            <a:ln w="3175">
              <a:solidFill>
                <a:srgbClr val="808080"/>
              </a:solidFill>
              <a:prstDash val="solid"/>
            </a:ln>
          </c:spPr>
          <c:marker>
            <c:symbol val="none"/>
          </c:marker>
          <c:dLbls>
            <c:dLbl>
              <c:idx val="0"/>
              <c:layout>
                <c:manualLayout>
                  <c:x val="-5.208333333333333E-3"/>
                  <c:y val="2.1367521367521368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140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6-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35.937935043957353</c:v>
              </c:pt>
              <c:pt idx="1">
                <c:v>66</c:v>
              </c:pt>
            </c:numLit>
          </c:xVal>
          <c:yVal>
            <c:numLit>
              <c:formatCode>General</c:formatCode>
              <c:ptCount val="2"/>
              <c:pt idx="0">
                <c:v>3.957924404129147E-2</c:v>
              </c:pt>
              <c:pt idx="1">
                <c:v>2.8052870689392322E-2</c:v>
              </c:pt>
            </c:numLit>
          </c:yVal>
          <c:smooth val="0"/>
          <c:extLst>
            <c:ext xmlns:c16="http://schemas.microsoft.com/office/drawing/2014/chart" uri="{C3380CC4-5D6E-409C-BE32-E72D297353CC}">
              <c16:uniqueId val="{000000B7-2969-4762-BEA3-9E3C552460D5}"/>
            </c:ext>
          </c:extLst>
        </c:ser>
        <c:ser>
          <c:idx val="153"/>
          <c:order val="153"/>
          <c:tx>
            <c:v>h=141</c:v>
          </c:tx>
          <c:spPr>
            <a:ln w="3175">
              <a:solidFill>
                <a:srgbClr val="808080"/>
              </a:solidFill>
              <a:prstDash val="solid"/>
            </a:ln>
          </c:spPr>
          <c:marker>
            <c:symbol val="none"/>
          </c:marker>
          <c:xVal>
            <c:numLit>
              <c:formatCode>General</c:formatCode>
              <c:ptCount val="2"/>
              <c:pt idx="0">
                <c:v>36.258865920773758</c:v>
              </c:pt>
              <c:pt idx="1">
                <c:v>36.558865920773755</c:v>
              </c:pt>
            </c:numLit>
          </c:xVal>
          <c:yVal>
            <c:numLit>
              <c:formatCode>General</c:formatCode>
              <c:ptCount val="2"/>
              <c:pt idx="0">
                <c:v>3.9837325397026252E-2</c:v>
              </c:pt>
              <c:pt idx="1">
                <c:v>3.9723223160840149E-2</c:v>
              </c:pt>
            </c:numLit>
          </c:yVal>
          <c:smooth val="0"/>
          <c:extLst>
            <c:ext xmlns:c16="http://schemas.microsoft.com/office/drawing/2014/chart" uri="{C3380CC4-5D6E-409C-BE32-E72D297353CC}">
              <c16:uniqueId val="{000000B8-2969-4762-BEA3-9E3C552460D5}"/>
            </c:ext>
          </c:extLst>
        </c:ser>
        <c:ser>
          <c:idx val="154"/>
          <c:order val="154"/>
          <c:tx>
            <c:v>h=142</c:v>
          </c:tx>
          <c:spPr>
            <a:ln w="3175">
              <a:solidFill>
                <a:srgbClr val="808080"/>
              </a:solidFill>
              <a:prstDash val="solid"/>
            </a:ln>
          </c:spPr>
          <c:marker>
            <c:symbol val="none"/>
          </c:marker>
          <c:xVal>
            <c:numLit>
              <c:formatCode>General</c:formatCode>
              <c:ptCount val="2"/>
              <c:pt idx="0">
                <c:v>36.579796797590163</c:v>
              </c:pt>
              <c:pt idx="1">
                <c:v>36.879796797590167</c:v>
              </c:pt>
            </c:numLit>
          </c:xVal>
          <c:yVal>
            <c:numLit>
              <c:formatCode>General</c:formatCode>
              <c:ptCount val="2"/>
              <c:pt idx="0">
                <c:v>4.0095406752761034E-2</c:v>
              </c:pt>
              <c:pt idx="1">
                <c:v>3.9981305075279604E-2</c:v>
              </c:pt>
            </c:numLit>
          </c:yVal>
          <c:smooth val="0"/>
          <c:extLst>
            <c:ext xmlns:c16="http://schemas.microsoft.com/office/drawing/2014/chart" uri="{C3380CC4-5D6E-409C-BE32-E72D297353CC}">
              <c16:uniqueId val="{000000B9-2969-4762-BEA3-9E3C552460D5}"/>
            </c:ext>
          </c:extLst>
        </c:ser>
        <c:ser>
          <c:idx val="155"/>
          <c:order val="155"/>
          <c:tx>
            <c:v>h=143</c:v>
          </c:tx>
          <c:spPr>
            <a:ln w="3175">
              <a:solidFill>
                <a:srgbClr val="808080"/>
              </a:solidFill>
              <a:prstDash val="solid"/>
            </a:ln>
          </c:spPr>
          <c:marker>
            <c:symbol val="none"/>
          </c:marker>
          <c:xVal>
            <c:numLit>
              <c:formatCode>General</c:formatCode>
              <c:ptCount val="2"/>
              <c:pt idx="0">
                <c:v>36.900727674406568</c:v>
              </c:pt>
              <c:pt idx="1">
                <c:v>37.200727674406572</c:v>
              </c:pt>
            </c:numLit>
          </c:xVal>
          <c:yVal>
            <c:numLit>
              <c:formatCode>General</c:formatCode>
              <c:ptCount val="2"/>
              <c:pt idx="0">
                <c:v>4.0353488108495816E-2</c:v>
              </c:pt>
              <c:pt idx="1">
                <c:v>4.023938698256728E-2</c:v>
              </c:pt>
            </c:numLit>
          </c:yVal>
          <c:smooth val="0"/>
          <c:extLst>
            <c:ext xmlns:c16="http://schemas.microsoft.com/office/drawing/2014/chart" uri="{C3380CC4-5D6E-409C-BE32-E72D297353CC}">
              <c16:uniqueId val="{000000BA-2969-4762-BEA3-9E3C552460D5}"/>
            </c:ext>
          </c:extLst>
        </c:ser>
        <c:ser>
          <c:idx val="156"/>
          <c:order val="156"/>
          <c:tx>
            <c:v>h=144</c:v>
          </c:tx>
          <c:spPr>
            <a:ln w="3175">
              <a:solidFill>
                <a:srgbClr val="808080"/>
              </a:solidFill>
              <a:prstDash val="solid"/>
            </a:ln>
          </c:spPr>
          <c:marker>
            <c:symbol val="none"/>
          </c:marker>
          <c:xVal>
            <c:numLit>
              <c:formatCode>General</c:formatCode>
              <c:ptCount val="2"/>
              <c:pt idx="0">
                <c:v>37.221658551222973</c:v>
              </c:pt>
              <c:pt idx="1">
                <c:v>37.521658551222977</c:v>
              </c:pt>
            </c:numLit>
          </c:xVal>
          <c:yVal>
            <c:numLit>
              <c:formatCode>General</c:formatCode>
              <c:ptCount val="2"/>
              <c:pt idx="0">
                <c:v>4.0611569464230599E-2</c:v>
              </c:pt>
              <c:pt idx="1">
                <c:v>4.049746888283963E-2</c:v>
              </c:pt>
            </c:numLit>
          </c:yVal>
          <c:smooth val="0"/>
          <c:extLst>
            <c:ext xmlns:c16="http://schemas.microsoft.com/office/drawing/2014/chart" uri="{C3380CC4-5D6E-409C-BE32-E72D297353CC}">
              <c16:uniqueId val="{000000BB-2969-4762-BEA3-9E3C552460D5}"/>
            </c:ext>
          </c:extLst>
        </c:ser>
        <c:ser>
          <c:idx val="157"/>
          <c:order val="157"/>
          <c:tx>
            <c:v>h=145</c:v>
          </c:tx>
          <c:spPr>
            <a:ln w="3175">
              <a:solidFill>
                <a:srgbClr val="808080"/>
              </a:solidFill>
              <a:prstDash val="solid"/>
            </a:ln>
          </c:spPr>
          <c:marker>
            <c:symbol val="none"/>
          </c:marker>
          <c:dLbls>
            <c:dLbl>
              <c:idx val="0"/>
              <c:layout>
                <c:manualLayout>
                  <c:x val="-5.2083333333334605E-3"/>
                  <c:y val="2.1367521367521368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145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C-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37.542589428039385</c:v>
              </c:pt>
              <c:pt idx="1">
                <c:v>66</c:v>
              </c:pt>
            </c:numLit>
          </c:xVal>
          <c:yVal>
            <c:numLit>
              <c:formatCode>General</c:formatCode>
              <c:ptCount val="2"/>
              <c:pt idx="0">
                <c:v>4.0869650819965381E-2</c:v>
              </c:pt>
              <c:pt idx="1">
                <c:v>2.9958532792633472E-2</c:v>
              </c:pt>
            </c:numLit>
          </c:yVal>
          <c:smooth val="0"/>
          <c:extLst>
            <c:ext xmlns:c16="http://schemas.microsoft.com/office/drawing/2014/chart" uri="{C3380CC4-5D6E-409C-BE32-E72D297353CC}">
              <c16:uniqueId val="{000000BD-2969-4762-BEA3-9E3C552460D5}"/>
            </c:ext>
          </c:extLst>
        </c:ser>
        <c:ser>
          <c:idx val="158"/>
          <c:order val="158"/>
          <c:tx>
            <c:v>h=146</c:v>
          </c:tx>
          <c:spPr>
            <a:ln w="3175">
              <a:solidFill>
                <a:srgbClr val="808080"/>
              </a:solidFill>
              <a:prstDash val="solid"/>
            </a:ln>
          </c:spPr>
          <c:marker>
            <c:symbol val="none"/>
          </c:marker>
          <c:xVal>
            <c:numLit>
              <c:formatCode>General</c:formatCode>
              <c:ptCount val="2"/>
              <c:pt idx="0">
                <c:v>37.86352030485579</c:v>
              </c:pt>
              <c:pt idx="1">
                <c:v>38.163520304855787</c:v>
              </c:pt>
            </c:numLit>
          </c:xVal>
          <c:yVal>
            <c:numLit>
              <c:formatCode>General</c:formatCode>
              <c:ptCount val="2"/>
              <c:pt idx="0">
                <c:v>4.112773217570017E-2</c:v>
              </c:pt>
              <c:pt idx="1">
                <c:v>4.1013632662866999E-2</c:v>
              </c:pt>
            </c:numLit>
          </c:yVal>
          <c:smooth val="0"/>
          <c:extLst>
            <c:ext xmlns:c16="http://schemas.microsoft.com/office/drawing/2014/chart" uri="{C3380CC4-5D6E-409C-BE32-E72D297353CC}">
              <c16:uniqueId val="{000000BE-2969-4762-BEA3-9E3C552460D5}"/>
            </c:ext>
          </c:extLst>
        </c:ser>
        <c:ser>
          <c:idx val="159"/>
          <c:order val="159"/>
          <c:tx>
            <c:v>h=147</c:v>
          </c:tx>
          <c:spPr>
            <a:ln w="3175">
              <a:solidFill>
                <a:srgbClr val="808080"/>
              </a:solidFill>
              <a:prstDash val="solid"/>
            </a:ln>
          </c:spPr>
          <c:marker>
            <c:symbol val="none"/>
          </c:marker>
          <c:xVal>
            <c:numLit>
              <c:formatCode>General</c:formatCode>
              <c:ptCount val="2"/>
              <c:pt idx="0">
                <c:v>38.184451181672195</c:v>
              </c:pt>
              <c:pt idx="1">
                <c:v>38.484451181672192</c:v>
              </c:pt>
            </c:numLit>
          </c:xVal>
          <c:yVal>
            <c:numLit>
              <c:formatCode>General</c:formatCode>
              <c:ptCount val="2"/>
              <c:pt idx="0">
                <c:v>4.1385813531434952E-2</c:v>
              </c:pt>
              <c:pt idx="1">
                <c:v>4.1271714542878098E-2</c:v>
              </c:pt>
            </c:numLit>
          </c:yVal>
          <c:smooth val="0"/>
          <c:extLst>
            <c:ext xmlns:c16="http://schemas.microsoft.com/office/drawing/2014/chart" uri="{C3380CC4-5D6E-409C-BE32-E72D297353CC}">
              <c16:uniqueId val="{000000BF-2969-4762-BEA3-9E3C552460D5}"/>
            </c:ext>
          </c:extLst>
        </c:ser>
        <c:ser>
          <c:idx val="160"/>
          <c:order val="160"/>
          <c:tx>
            <c:v>h=148</c:v>
          </c:tx>
          <c:spPr>
            <a:ln w="3175">
              <a:solidFill>
                <a:srgbClr val="808080"/>
              </a:solidFill>
              <a:prstDash val="solid"/>
            </a:ln>
          </c:spPr>
          <c:marker>
            <c:symbol val="none"/>
          </c:marker>
          <c:xVal>
            <c:numLit>
              <c:formatCode>General</c:formatCode>
              <c:ptCount val="2"/>
              <c:pt idx="0">
                <c:v>38.5053820584886</c:v>
              </c:pt>
              <c:pt idx="1">
                <c:v>38.805382058488597</c:v>
              </c:pt>
            </c:numLit>
          </c:xVal>
          <c:yVal>
            <c:numLit>
              <c:formatCode>General</c:formatCode>
              <c:ptCount val="2"/>
              <c:pt idx="0">
                <c:v>4.1643894887169734E-2</c:v>
              </c:pt>
              <c:pt idx="1">
                <c:v>4.1529796416386225E-2</c:v>
              </c:pt>
            </c:numLit>
          </c:yVal>
          <c:smooth val="0"/>
          <c:extLst>
            <c:ext xmlns:c16="http://schemas.microsoft.com/office/drawing/2014/chart" uri="{C3380CC4-5D6E-409C-BE32-E72D297353CC}">
              <c16:uniqueId val="{000000C0-2969-4762-BEA3-9E3C552460D5}"/>
            </c:ext>
          </c:extLst>
        </c:ser>
        <c:ser>
          <c:idx val="161"/>
          <c:order val="161"/>
          <c:tx>
            <c:v>h=149</c:v>
          </c:tx>
          <c:spPr>
            <a:ln w="3175">
              <a:solidFill>
                <a:srgbClr val="808080"/>
              </a:solidFill>
              <a:prstDash val="solid"/>
            </a:ln>
          </c:spPr>
          <c:marker>
            <c:symbol val="none"/>
          </c:marker>
          <c:xVal>
            <c:numLit>
              <c:formatCode>General</c:formatCode>
              <c:ptCount val="2"/>
              <c:pt idx="0">
                <c:v>38.826312935305005</c:v>
              </c:pt>
              <c:pt idx="1">
                <c:v>39.126312935305002</c:v>
              </c:pt>
            </c:numLit>
          </c:xVal>
          <c:yVal>
            <c:numLit>
              <c:formatCode>General</c:formatCode>
              <c:ptCount val="2"/>
              <c:pt idx="0">
                <c:v>4.1901976242904516E-2</c:v>
              </c:pt>
              <c:pt idx="1">
                <c:v>4.1787878283511638E-2</c:v>
              </c:pt>
            </c:numLit>
          </c:yVal>
          <c:smooth val="0"/>
          <c:extLst>
            <c:ext xmlns:c16="http://schemas.microsoft.com/office/drawing/2014/chart" uri="{C3380CC4-5D6E-409C-BE32-E72D297353CC}">
              <c16:uniqueId val="{000000C1-2969-4762-BEA3-9E3C552460D5}"/>
            </c:ext>
          </c:extLst>
        </c:ser>
        <c:ser>
          <c:idx val="162"/>
          <c:order val="162"/>
          <c:tx>
            <c:v>h=150</c:v>
          </c:tx>
          <c:spPr>
            <a:ln w="3175">
              <a:solidFill>
                <a:srgbClr val="808080"/>
              </a:solidFill>
              <a:prstDash val="solid"/>
            </a:ln>
          </c:spPr>
          <c:marker>
            <c:symbol val="none"/>
          </c:marker>
          <c:dLbls>
            <c:dLbl>
              <c:idx val="0"/>
              <c:layout>
                <c:manualLayout>
                  <c:x val="-5.208333333333333E-3"/>
                  <c:y val="2.1367521367521368E-2"/>
                </c:manualLayout>
              </c:layout>
              <c:tx>
                <c:rich>
                  <a:bodyPr rot="-32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150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2-2969-4762-BEA3-9E3C552460D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39.14724381212141</c:v>
              </c:pt>
              <c:pt idx="1">
                <c:v>66</c:v>
              </c:pt>
            </c:numLit>
          </c:xVal>
          <c:yVal>
            <c:numLit>
              <c:formatCode>General</c:formatCode>
              <c:ptCount val="2"/>
              <c:pt idx="0">
                <c:v>4.2160057598639299E-2</c:v>
              </c:pt>
              <c:pt idx="1">
                <c:v>3.1864194895874623E-2</c:v>
              </c:pt>
            </c:numLit>
          </c:yVal>
          <c:smooth val="0"/>
          <c:extLst>
            <c:ext xmlns:c16="http://schemas.microsoft.com/office/drawing/2014/chart" uri="{C3380CC4-5D6E-409C-BE32-E72D297353CC}">
              <c16:uniqueId val="{000000C3-2969-4762-BEA3-9E3C552460D5}"/>
            </c:ext>
          </c:extLst>
        </c:ser>
        <c:ser>
          <c:idx val="163"/>
          <c:order val="163"/>
          <c:tx>
            <c:v>h=151</c:v>
          </c:tx>
          <c:spPr>
            <a:ln w="3175">
              <a:solidFill>
                <a:srgbClr val="808080"/>
              </a:solidFill>
              <a:prstDash val="solid"/>
            </a:ln>
          </c:spPr>
          <c:marker>
            <c:symbol val="none"/>
          </c:marker>
          <c:xVal>
            <c:numLit>
              <c:formatCode>General</c:formatCode>
              <c:ptCount val="2"/>
              <c:pt idx="0">
                <c:v>39.468174688937815</c:v>
              </c:pt>
              <c:pt idx="1">
                <c:v>39.768174688937819</c:v>
              </c:pt>
            </c:numLit>
          </c:xVal>
          <c:yVal>
            <c:numLit>
              <c:formatCode>General</c:formatCode>
              <c:ptCount val="2"/>
              <c:pt idx="0">
                <c:v>4.2418138954374088E-2</c:v>
              </c:pt>
              <c:pt idx="1">
                <c:v>4.2304041999080645E-2</c:v>
              </c:pt>
            </c:numLit>
          </c:yVal>
          <c:smooth val="0"/>
          <c:extLst>
            <c:ext xmlns:c16="http://schemas.microsoft.com/office/drawing/2014/chart" uri="{C3380CC4-5D6E-409C-BE32-E72D297353CC}">
              <c16:uniqueId val="{000000C4-2969-4762-BEA3-9E3C552460D5}"/>
            </c:ext>
          </c:extLst>
        </c:ser>
        <c:ser>
          <c:idx val="164"/>
          <c:order val="164"/>
          <c:tx>
            <c:v>h=152</c:v>
          </c:tx>
          <c:spPr>
            <a:ln w="3175">
              <a:solidFill>
                <a:srgbClr val="808080"/>
              </a:solidFill>
              <a:prstDash val="solid"/>
            </a:ln>
          </c:spPr>
          <c:marker>
            <c:symbol val="none"/>
          </c:marker>
          <c:xVal>
            <c:numLit>
              <c:formatCode>General</c:formatCode>
              <c:ptCount val="2"/>
              <c:pt idx="0">
                <c:v>39.789105565754227</c:v>
              </c:pt>
              <c:pt idx="1">
                <c:v>40.089105565754224</c:v>
              </c:pt>
            </c:numLit>
          </c:xVal>
          <c:yVal>
            <c:numLit>
              <c:formatCode>General</c:formatCode>
              <c:ptCount val="2"/>
              <c:pt idx="0">
                <c:v>4.267622031010887E-2</c:v>
              </c:pt>
              <c:pt idx="1">
                <c:v>4.2562123847750349E-2</c:v>
              </c:pt>
            </c:numLit>
          </c:yVal>
          <c:smooth val="0"/>
          <c:extLst>
            <c:ext xmlns:c16="http://schemas.microsoft.com/office/drawing/2014/chart" uri="{C3380CC4-5D6E-409C-BE32-E72D297353CC}">
              <c16:uniqueId val="{000000C5-2969-4762-BEA3-9E3C552460D5}"/>
            </c:ext>
          </c:extLst>
        </c:ser>
        <c:ser>
          <c:idx val="165"/>
          <c:order val="165"/>
          <c:tx>
            <c:v>h=153</c:v>
          </c:tx>
          <c:spPr>
            <a:ln w="3175">
              <a:solidFill>
                <a:srgbClr val="808080"/>
              </a:solidFill>
              <a:prstDash val="solid"/>
            </a:ln>
          </c:spPr>
          <c:marker>
            <c:symbol val="none"/>
          </c:marker>
          <c:xVal>
            <c:numLit>
              <c:formatCode>General</c:formatCode>
              <c:ptCount val="2"/>
              <c:pt idx="0">
                <c:v>40.110036442570632</c:v>
              </c:pt>
              <c:pt idx="1">
                <c:v>40.410036442570629</c:v>
              </c:pt>
            </c:numLit>
          </c:xVal>
          <c:yVal>
            <c:numLit>
              <c:formatCode>General</c:formatCode>
              <c:ptCount val="2"/>
              <c:pt idx="0">
                <c:v>4.2934301665843652E-2</c:v>
              </c:pt>
              <c:pt idx="1">
                <c:v>4.2820205690489735E-2</c:v>
              </c:pt>
            </c:numLit>
          </c:yVal>
          <c:smooth val="0"/>
          <c:extLst>
            <c:ext xmlns:c16="http://schemas.microsoft.com/office/drawing/2014/chart" uri="{C3380CC4-5D6E-409C-BE32-E72D297353CC}">
              <c16:uniqueId val="{000000C6-2969-4762-BEA3-9E3C552460D5}"/>
            </c:ext>
          </c:extLst>
        </c:ser>
        <c:ser>
          <c:idx val="166"/>
          <c:order val="166"/>
          <c:tx>
            <c:v>h=154</c:v>
          </c:tx>
          <c:spPr>
            <a:ln w="3175">
              <a:solidFill>
                <a:srgbClr val="808080"/>
              </a:solidFill>
              <a:prstDash val="solid"/>
            </a:ln>
          </c:spPr>
          <c:marker>
            <c:symbol val="none"/>
          </c:marker>
          <c:xVal>
            <c:numLit>
              <c:formatCode>General</c:formatCode>
              <c:ptCount val="2"/>
              <c:pt idx="0">
                <c:v>40.430967319387037</c:v>
              </c:pt>
              <c:pt idx="1">
                <c:v>40.730967319387034</c:v>
              </c:pt>
            </c:numLit>
          </c:xVal>
          <c:yVal>
            <c:numLit>
              <c:formatCode>General</c:formatCode>
              <c:ptCount val="2"/>
              <c:pt idx="0">
                <c:v>4.3192383021578434E-2</c:v>
              </c:pt>
              <c:pt idx="1">
                <c:v>4.3078287527405175E-2</c:v>
              </c:pt>
            </c:numLit>
          </c:yVal>
          <c:smooth val="0"/>
          <c:extLst>
            <c:ext xmlns:c16="http://schemas.microsoft.com/office/drawing/2014/chart" uri="{C3380CC4-5D6E-409C-BE32-E72D297353CC}">
              <c16:uniqueId val="{000000C7-2969-4762-BEA3-9E3C552460D5}"/>
            </c:ext>
          </c:extLst>
        </c:ser>
        <c:dLbls>
          <c:showLegendKey val="0"/>
          <c:showVal val="0"/>
          <c:showCatName val="0"/>
          <c:showSerName val="0"/>
          <c:showPercent val="0"/>
          <c:showBubbleSize val="0"/>
        </c:dLbls>
        <c:axId val="358253584"/>
        <c:axId val="358251624"/>
      </c:scatterChart>
      <c:valAx>
        <c:axId val="358253584"/>
        <c:scaling>
          <c:orientation val="minMax"/>
          <c:max val="66.8"/>
          <c:min val="-10.226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226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844E-4682-A2A9-16C8DE91A3A0}"/>
            </c:ext>
          </c:extLst>
        </c:ser>
        <c:ser>
          <c:idx val="1"/>
          <c:order val="1"/>
          <c:tx>
            <c:v>x=0</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-10.226000000000001</c:v>
              </c:pt>
              <c:pt idx="1">
                <c:v>66.8</c:v>
              </c:pt>
            </c:numLit>
          </c:xVal>
          <c:yVal>
            <c:numLit>
              <c:formatCode>General</c:formatCode>
              <c:ptCount val="2"/>
              <c:pt idx="0">
                <c:v>0</c:v>
              </c:pt>
              <c:pt idx="1">
                <c:v>0</c:v>
              </c:pt>
            </c:numLit>
          </c:yVal>
          <c:smooth val="0"/>
          <c:extLst>
            <c:ext xmlns:c16="http://schemas.microsoft.com/office/drawing/2014/chart" uri="{C3380CC4-5D6E-409C-BE32-E72D297353CC}">
              <c16:uniqueId val="{00000002-844E-4682-A2A9-16C8DE91A3A0}"/>
            </c:ext>
          </c:extLst>
        </c:ser>
        <c:ser>
          <c:idx val="2"/>
          <c:order val="2"/>
          <c:tx>
            <c:v>x=0.0002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2.0000000000000001E-4</c:v>
              </c:pt>
              <c:pt idx="1">
                <c:v>2.0000000000000001E-4</c:v>
              </c:pt>
            </c:numLit>
          </c:yVal>
          <c:smooth val="0"/>
          <c:extLst>
            <c:ext xmlns:c16="http://schemas.microsoft.com/office/drawing/2014/chart" uri="{C3380CC4-5D6E-409C-BE32-E72D297353CC}">
              <c16:uniqueId val="{00000003-844E-4682-A2A9-16C8DE91A3A0}"/>
            </c:ext>
          </c:extLst>
        </c:ser>
        <c:ser>
          <c:idx val="3"/>
          <c:order val="3"/>
          <c:tx>
            <c:v>x=0.0004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4.0000000000000002E-4</c:v>
              </c:pt>
              <c:pt idx="1">
                <c:v>4.0000000000000002E-4</c:v>
              </c:pt>
            </c:numLit>
          </c:yVal>
          <c:smooth val="0"/>
          <c:extLst>
            <c:ext xmlns:c16="http://schemas.microsoft.com/office/drawing/2014/chart" uri="{C3380CC4-5D6E-409C-BE32-E72D297353CC}">
              <c16:uniqueId val="{00000004-844E-4682-A2A9-16C8DE91A3A0}"/>
            </c:ext>
          </c:extLst>
        </c:ser>
        <c:ser>
          <c:idx val="4"/>
          <c:order val="4"/>
          <c:tx>
            <c:v>x=0.0006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6.0000000000000006E-4</c:v>
              </c:pt>
              <c:pt idx="1">
                <c:v>6.0000000000000006E-4</c:v>
              </c:pt>
            </c:numLit>
          </c:yVal>
          <c:smooth val="0"/>
          <c:extLst>
            <c:ext xmlns:c16="http://schemas.microsoft.com/office/drawing/2014/chart" uri="{C3380CC4-5D6E-409C-BE32-E72D297353CC}">
              <c16:uniqueId val="{00000005-844E-4682-A2A9-16C8DE91A3A0}"/>
            </c:ext>
          </c:extLst>
        </c:ser>
        <c:ser>
          <c:idx val="5"/>
          <c:order val="5"/>
          <c:tx>
            <c:v>x=0.0008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8.0000000000000004E-4</c:v>
              </c:pt>
              <c:pt idx="1">
                <c:v>8.0000000000000004E-4</c:v>
              </c:pt>
            </c:numLit>
          </c:yVal>
          <c:smooth val="0"/>
          <c:extLst>
            <c:ext xmlns:c16="http://schemas.microsoft.com/office/drawing/2014/chart" uri="{C3380CC4-5D6E-409C-BE32-E72D297353CC}">
              <c16:uniqueId val="{00000006-844E-4682-A2A9-16C8DE91A3A0}"/>
            </c:ext>
          </c:extLst>
        </c:ser>
        <c:ser>
          <c:idx val="6"/>
          <c:order val="6"/>
          <c:tx>
            <c:v>x=0.001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-10.366934751491055</c:v>
              </c:pt>
              <c:pt idx="1">
                <c:v>66.8</c:v>
              </c:pt>
            </c:numLit>
          </c:xVal>
          <c:yVal>
            <c:numLit>
              <c:formatCode>General</c:formatCode>
              <c:ptCount val="2"/>
              <c:pt idx="0">
                <c:v>1E-3</c:v>
              </c:pt>
              <c:pt idx="1">
                <c:v>1E-3</c:v>
              </c:pt>
            </c:numLit>
          </c:yVal>
          <c:smooth val="0"/>
          <c:extLst>
            <c:ext xmlns:c16="http://schemas.microsoft.com/office/drawing/2014/chart" uri="{C3380CC4-5D6E-409C-BE32-E72D297353CC}">
              <c16:uniqueId val="{00000008-844E-4682-A2A9-16C8DE91A3A0}"/>
            </c:ext>
          </c:extLst>
        </c:ser>
        <c:ser>
          <c:idx val="7"/>
          <c:order val="7"/>
          <c:tx>
            <c:v>x=0.0012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1.2000000000000001E-3</c:v>
              </c:pt>
              <c:pt idx="1">
                <c:v>1.2000000000000001E-3</c:v>
              </c:pt>
            </c:numLit>
          </c:yVal>
          <c:smooth val="0"/>
          <c:extLst>
            <c:ext xmlns:c16="http://schemas.microsoft.com/office/drawing/2014/chart" uri="{C3380CC4-5D6E-409C-BE32-E72D297353CC}">
              <c16:uniqueId val="{00000009-844E-4682-A2A9-16C8DE91A3A0}"/>
            </c:ext>
          </c:extLst>
        </c:ser>
        <c:ser>
          <c:idx val="8"/>
          <c:order val="8"/>
          <c:tx>
            <c:v>x=0.0014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1.4E-3</c:v>
              </c:pt>
              <c:pt idx="1">
                <c:v>1.4E-3</c:v>
              </c:pt>
            </c:numLit>
          </c:yVal>
          <c:smooth val="0"/>
          <c:extLst>
            <c:ext xmlns:c16="http://schemas.microsoft.com/office/drawing/2014/chart" uri="{C3380CC4-5D6E-409C-BE32-E72D297353CC}">
              <c16:uniqueId val="{0000000A-844E-4682-A2A9-16C8DE91A3A0}"/>
            </c:ext>
          </c:extLst>
        </c:ser>
        <c:ser>
          <c:idx val="9"/>
          <c:order val="9"/>
          <c:tx>
            <c:v>x=0.0016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1.6000000000000001E-3</c:v>
              </c:pt>
              <c:pt idx="1">
                <c:v>1.6000000000000001E-3</c:v>
              </c:pt>
            </c:numLit>
          </c:yVal>
          <c:smooth val="0"/>
          <c:extLst>
            <c:ext xmlns:c16="http://schemas.microsoft.com/office/drawing/2014/chart" uri="{C3380CC4-5D6E-409C-BE32-E72D297353CC}">
              <c16:uniqueId val="{0000000B-844E-4682-A2A9-16C8DE91A3A0}"/>
            </c:ext>
          </c:extLst>
        </c:ser>
        <c:ser>
          <c:idx val="10"/>
          <c:order val="10"/>
          <c:tx>
            <c:v>x=0.0018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1.8000000000000002E-3</c:v>
              </c:pt>
              <c:pt idx="1">
                <c:v>1.8000000000000002E-3</c:v>
              </c:pt>
            </c:numLit>
          </c:yVal>
          <c:smooth val="0"/>
          <c:extLst>
            <c:ext xmlns:c16="http://schemas.microsoft.com/office/drawing/2014/chart" uri="{C3380CC4-5D6E-409C-BE32-E72D297353CC}">
              <c16:uniqueId val="{0000000C-844E-4682-A2A9-16C8DE91A3A0}"/>
            </c:ext>
          </c:extLst>
        </c:ser>
        <c:ser>
          <c:idx val="11"/>
          <c:order val="11"/>
          <c:tx>
            <c:v>x=0.002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-7.7818262425447307</c:v>
              </c:pt>
              <c:pt idx="1">
                <c:v>66.8</c:v>
              </c:pt>
            </c:numLit>
          </c:xVal>
          <c:yVal>
            <c:numLit>
              <c:formatCode>General</c:formatCode>
              <c:ptCount val="2"/>
              <c:pt idx="0">
                <c:v>2E-3</c:v>
              </c:pt>
              <c:pt idx="1">
                <c:v>2E-3</c:v>
              </c:pt>
            </c:numLit>
          </c:yVal>
          <c:smooth val="0"/>
          <c:extLst>
            <c:ext xmlns:c16="http://schemas.microsoft.com/office/drawing/2014/chart" uri="{C3380CC4-5D6E-409C-BE32-E72D297353CC}">
              <c16:uniqueId val="{0000000E-844E-4682-A2A9-16C8DE91A3A0}"/>
            </c:ext>
          </c:extLst>
        </c:ser>
        <c:ser>
          <c:idx val="12"/>
          <c:order val="12"/>
          <c:tx>
            <c:v>x=0.0022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2.2000000000000001E-3</c:v>
              </c:pt>
              <c:pt idx="1">
                <c:v>2.2000000000000001E-3</c:v>
              </c:pt>
            </c:numLit>
          </c:yVal>
          <c:smooth val="0"/>
          <c:extLst>
            <c:ext xmlns:c16="http://schemas.microsoft.com/office/drawing/2014/chart" uri="{C3380CC4-5D6E-409C-BE32-E72D297353CC}">
              <c16:uniqueId val="{0000000F-844E-4682-A2A9-16C8DE91A3A0}"/>
            </c:ext>
          </c:extLst>
        </c:ser>
        <c:ser>
          <c:idx val="13"/>
          <c:order val="13"/>
          <c:tx>
            <c:v>x=0.0024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2.4000000000000002E-3</c:v>
              </c:pt>
              <c:pt idx="1">
                <c:v>2.4000000000000002E-3</c:v>
              </c:pt>
            </c:numLit>
          </c:yVal>
          <c:smooth val="0"/>
          <c:extLst>
            <c:ext xmlns:c16="http://schemas.microsoft.com/office/drawing/2014/chart" uri="{C3380CC4-5D6E-409C-BE32-E72D297353CC}">
              <c16:uniqueId val="{00000010-844E-4682-A2A9-16C8DE91A3A0}"/>
            </c:ext>
          </c:extLst>
        </c:ser>
        <c:ser>
          <c:idx val="14"/>
          <c:order val="14"/>
          <c:tx>
            <c:v>x=0.0026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2.6000000000000003E-3</c:v>
              </c:pt>
              <c:pt idx="1">
                <c:v>2.6000000000000003E-3</c:v>
              </c:pt>
            </c:numLit>
          </c:yVal>
          <c:smooth val="0"/>
          <c:extLst>
            <c:ext xmlns:c16="http://schemas.microsoft.com/office/drawing/2014/chart" uri="{C3380CC4-5D6E-409C-BE32-E72D297353CC}">
              <c16:uniqueId val="{00000011-844E-4682-A2A9-16C8DE91A3A0}"/>
            </c:ext>
          </c:extLst>
        </c:ser>
        <c:ser>
          <c:idx val="15"/>
          <c:order val="15"/>
          <c:tx>
            <c:v>x=0.0028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2.8E-3</c:v>
              </c:pt>
              <c:pt idx="1">
                <c:v>2.8E-3</c:v>
              </c:pt>
            </c:numLit>
          </c:yVal>
          <c:smooth val="0"/>
          <c:extLst>
            <c:ext xmlns:c16="http://schemas.microsoft.com/office/drawing/2014/chart" uri="{C3380CC4-5D6E-409C-BE32-E72D297353CC}">
              <c16:uniqueId val="{00000012-844E-4682-A2A9-16C8DE91A3A0}"/>
            </c:ext>
          </c:extLst>
        </c:ser>
        <c:ser>
          <c:idx val="16"/>
          <c:order val="16"/>
          <c:tx>
            <c:v>x=0.003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-3.1715588469184892</c:v>
              </c:pt>
              <c:pt idx="1">
                <c:v>66.8</c:v>
              </c:pt>
            </c:numLit>
          </c:xVal>
          <c:yVal>
            <c:numLit>
              <c:formatCode>General</c:formatCode>
              <c:ptCount val="2"/>
              <c:pt idx="0">
                <c:v>3.0000000000000001E-3</c:v>
              </c:pt>
              <c:pt idx="1">
                <c:v>3.0000000000000001E-3</c:v>
              </c:pt>
            </c:numLit>
          </c:yVal>
          <c:smooth val="0"/>
          <c:extLst>
            <c:ext xmlns:c16="http://schemas.microsoft.com/office/drawing/2014/chart" uri="{C3380CC4-5D6E-409C-BE32-E72D297353CC}">
              <c16:uniqueId val="{00000014-844E-4682-A2A9-16C8DE91A3A0}"/>
            </c:ext>
          </c:extLst>
        </c:ser>
        <c:ser>
          <c:idx val="17"/>
          <c:order val="17"/>
          <c:tx>
            <c:v>x=0.0032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3.2000000000000002E-3</c:v>
              </c:pt>
              <c:pt idx="1">
                <c:v>3.2000000000000002E-3</c:v>
              </c:pt>
            </c:numLit>
          </c:yVal>
          <c:smooth val="0"/>
          <c:extLst>
            <c:ext xmlns:c16="http://schemas.microsoft.com/office/drawing/2014/chart" uri="{C3380CC4-5D6E-409C-BE32-E72D297353CC}">
              <c16:uniqueId val="{00000015-844E-4682-A2A9-16C8DE91A3A0}"/>
            </c:ext>
          </c:extLst>
        </c:ser>
        <c:ser>
          <c:idx val="18"/>
          <c:order val="18"/>
          <c:tx>
            <c:v>x=0.0034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3.4000000000000002E-3</c:v>
              </c:pt>
              <c:pt idx="1">
                <c:v>3.4000000000000002E-3</c:v>
              </c:pt>
            </c:numLit>
          </c:yVal>
          <c:smooth val="0"/>
          <c:extLst>
            <c:ext xmlns:c16="http://schemas.microsoft.com/office/drawing/2014/chart" uri="{C3380CC4-5D6E-409C-BE32-E72D297353CC}">
              <c16:uniqueId val="{00000016-844E-4682-A2A9-16C8DE91A3A0}"/>
            </c:ext>
          </c:extLst>
        </c:ser>
        <c:ser>
          <c:idx val="19"/>
          <c:order val="19"/>
          <c:tx>
            <c:v>x=0.0036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3.6000000000000003E-3</c:v>
              </c:pt>
              <c:pt idx="1">
                <c:v>3.6000000000000003E-3</c:v>
              </c:pt>
            </c:numLit>
          </c:yVal>
          <c:smooth val="0"/>
          <c:extLst>
            <c:ext xmlns:c16="http://schemas.microsoft.com/office/drawing/2014/chart" uri="{C3380CC4-5D6E-409C-BE32-E72D297353CC}">
              <c16:uniqueId val="{00000017-844E-4682-A2A9-16C8DE91A3A0}"/>
            </c:ext>
          </c:extLst>
        </c:ser>
        <c:ser>
          <c:idx val="20"/>
          <c:order val="20"/>
          <c:tx>
            <c:v>x=0.0038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3.8E-3</c:v>
              </c:pt>
              <c:pt idx="1">
                <c:v>3.8E-3</c:v>
              </c:pt>
            </c:numLit>
          </c:yVal>
          <c:smooth val="0"/>
          <c:extLst>
            <c:ext xmlns:c16="http://schemas.microsoft.com/office/drawing/2014/chart" uri="{C3380CC4-5D6E-409C-BE32-E72D297353CC}">
              <c16:uniqueId val="{00000018-844E-4682-A2A9-16C8DE91A3A0}"/>
            </c:ext>
          </c:extLst>
        </c:ser>
        <c:ser>
          <c:idx val="21"/>
          <c:order val="21"/>
          <c:tx>
            <c:v>x=0.004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0.25736143141153078</c:v>
              </c:pt>
              <c:pt idx="1">
                <c:v>66.8</c:v>
              </c:pt>
            </c:numLit>
          </c:xVal>
          <c:yVal>
            <c:numLit>
              <c:formatCode>General</c:formatCode>
              <c:ptCount val="2"/>
              <c:pt idx="0">
                <c:v>4.0000000000000001E-3</c:v>
              </c:pt>
              <c:pt idx="1">
                <c:v>4.0000000000000001E-3</c:v>
              </c:pt>
            </c:numLit>
          </c:yVal>
          <c:smooth val="0"/>
          <c:extLst>
            <c:ext xmlns:c16="http://schemas.microsoft.com/office/drawing/2014/chart" uri="{C3380CC4-5D6E-409C-BE32-E72D297353CC}">
              <c16:uniqueId val="{0000001A-844E-4682-A2A9-16C8DE91A3A0}"/>
            </c:ext>
          </c:extLst>
        </c:ser>
        <c:ser>
          <c:idx val="22"/>
          <c:order val="22"/>
          <c:tx>
            <c:v>x=0.0042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4.2000000000000006E-3</c:v>
              </c:pt>
              <c:pt idx="1">
                <c:v>4.2000000000000006E-3</c:v>
              </c:pt>
            </c:numLit>
          </c:yVal>
          <c:smooth val="0"/>
          <c:extLst>
            <c:ext xmlns:c16="http://schemas.microsoft.com/office/drawing/2014/chart" uri="{C3380CC4-5D6E-409C-BE32-E72D297353CC}">
              <c16:uniqueId val="{0000001B-844E-4682-A2A9-16C8DE91A3A0}"/>
            </c:ext>
          </c:extLst>
        </c:ser>
        <c:ser>
          <c:idx val="23"/>
          <c:order val="23"/>
          <c:tx>
            <c:v>x=0.0044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4.4000000000000003E-3</c:v>
              </c:pt>
              <c:pt idx="1">
                <c:v>4.4000000000000003E-3</c:v>
              </c:pt>
            </c:numLit>
          </c:yVal>
          <c:smooth val="0"/>
          <c:extLst>
            <c:ext xmlns:c16="http://schemas.microsoft.com/office/drawing/2014/chart" uri="{C3380CC4-5D6E-409C-BE32-E72D297353CC}">
              <c16:uniqueId val="{0000001C-844E-4682-A2A9-16C8DE91A3A0}"/>
            </c:ext>
          </c:extLst>
        </c:ser>
        <c:ser>
          <c:idx val="24"/>
          <c:order val="24"/>
          <c:tx>
            <c:v>x=0.0046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4.5999999999999999E-3</c:v>
              </c:pt>
              <c:pt idx="1">
                <c:v>4.5999999999999999E-3</c:v>
              </c:pt>
            </c:numLit>
          </c:yVal>
          <c:smooth val="0"/>
          <c:extLst>
            <c:ext xmlns:c16="http://schemas.microsoft.com/office/drawing/2014/chart" uri="{C3380CC4-5D6E-409C-BE32-E72D297353CC}">
              <c16:uniqueId val="{0000001D-844E-4682-A2A9-16C8DE91A3A0}"/>
            </c:ext>
          </c:extLst>
        </c:ser>
        <c:ser>
          <c:idx val="25"/>
          <c:order val="25"/>
          <c:tx>
            <c:v>x=0.0048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4.8000000000000004E-3</c:v>
              </c:pt>
              <c:pt idx="1">
                <c:v>4.8000000000000004E-3</c:v>
              </c:pt>
            </c:numLit>
          </c:yVal>
          <c:smooth val="0"/>
          <c:extLst>
            <c:ext xmlns:c16="http://schemas.microsoft.com/office/drawing/2014/chart" uri="{C3380CC4-5D6E-409C-BE32-E72D297353CC}">
              <c16:uniqueId val="{0000001E-844E-4682-A2A9-16C8DE91A3A0}"/>
            </c:ext>
          </c:extLst>
        </c:ser>
        <c:ser>
          <c:idx val="26"/>
          <c:order val="26"/>
          <c:tx>
            <c:v>x=0.005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3.2754522862823063</c:v>
              </c:pt>
              <c:pt idx="1">
                <c:v>66.8</c:v>
              </c:pt>
            </c:numLit>
          </c:xVal>
          <c:yVal>
            <c:numLit>
              <c:formatCode>General</c:formatCode>
              <c:ptCount val="2"/>
              <c:pt idx="0">
                <c:v>5.0000000000000001E-3</c:v>
              </c:pt>
              <c:pt idx="1">
                <c:v>5.0000000000000001E-3</c:v>
              </c:pt>
            </c:numLit>
          </c:yVal>
          <c:smooth val="0"/>
          <c:extLst>
            <c:ext xmlns:c16="http://schemas.microsoft.com/office/drawing/2014/chart" uri="{C3380CC4-5D6E-409C-BE32-E72D297353CC}">
              <c16:uniqueId val="{00000020-844E-4682-A2A9-16C8DE91A3A0}"/>
            </c:ext>
          </c:extLst>
        </c:ser>
        <c:ser>
          <c:idx val="27"/>
          <c:order val="27"/>
          <c:tx>
            <c:v>x=0.0052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5.2000000000000006E-3</c:v>
              </c:pt>
              <c:pt idx="1">
                <c:v>5.2000000000000006E-3</c:v>
              </c:pt>
            </c:numLit>
          </c:yVal>
          <c:smooth val="0"/>
          <c:extLst>
            <c:ext xmlns:c16="http://schemas.microsoft.com/office/drawing/2014/chart" uri="{C3380CC4-5D6E-409C-BE32-E72D297353CC}">
              <c16:uniqueId val="{00000021-844E-4682-A2A9-16C8DE91A3A0}"/>
            </c:ext>
          </c:extLst>
        </c:ser>
        <c:ser>
          <c:idx val="28"/>
          <c:order val="28"/>
          <c:tx>
            <c:v>x=0.0054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5.4000000000000003E-3</c:v>
              </c:pt>
              <c:pt idx="1">
                <c:v>5.4000000000000003E-3</c:v>
              </c:pt>
            </c:numLit>
          </c:yVal>
          <c:smooth val="0"/>
          <c:extLst>
            <c:ext xmlns:c16="http://schemas.microsoft.com/office/drawing/2014/chart" uri="{C3380CC4-5D6E-409C-BE32-E72D297353CC}">
              <c16:uniqueId val="{00000022-844E-4682-A2A9-16C8DE91A3A0}"/>
            </c:ext>
          </c:extLst>
        </c:ser>
        <c:ser>
          <c:idx val="29"/>
          <c:order val="29"/>
          <c:tx>
            <c:v>x=0.0056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5.5999999999999999E-3</c:v>
              </c:pt>
              <c:pt idx="1">
                <c:v>5.5999999999999999E-3</c:v>
              </c:pt>
            </c:numLit>
          </c:yVal>
          <c:smooth val="0"/>
          <c:extLst>
            <c:ext xmlns:c16="http://schemas.microsoft.com/office/drawing/2014/chart" uri="{C3380CC4-5D6E-409C-BE32-E72D297353CC}">
              <c16:uniqueId val="{00000023-844E-4682-A2A9-16C8DE91A3A0}"/>
            </c:ext>
          </c:extLst>
        </c:ser>
        <c:ser>
          <c:idx val="30"/>
          <c:order val="30"/>
          <c:tx>
            <c:v>x=0.0058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5.8000000000000005E-3</c:v>
              </c:pt>
              <c:pt idx="1">
                <c:v>5.8000000000000005E-3</c:v>
              </c:pt>
            </c:numLit>
          </c:yVal>
          <c:smooth val="0"/>
          <c:extLst>
            <c:ext xmlns:c16="http://schemas.microsoft.com/office/drawing/2014/chart" uri="{C3380CC4-5D6E-409C-BE32-E72D297353CC}">
              <c16:uniqueId val="{00000024-844E-4682-A2A9-16C8DE91A3A0}"/>
            </c:ext>
          </c:extLst>
        </c:ser>
        <c:ser>
          <c:idx val="31"/>
          <c:order val="31"/>
          <c:tx>
            <c:v>x=0.006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5.7792747514910543</c:v>
              </c:pt>
              <c:pt idx="1">
                <c:v>66.8</c:v>
              </c:pt>
            </c:numLit>
          </c:xVal>
          <c:yVal>
            <c:numLit>
              <c:formatCode>General</c:formatCode>
              <c:ptCount val="2"/>
              <c:pt idx="0">
                <c:v>6.0000000000000001E-3</c:v>
              </c:pt>
              <c:pt idx="1">
                <c:v>6.0000000000000001E-3</c:v>
              </c:pt>
            </c:numLit>
          </c:yVal>
          <c:smooth val="0"/>
          <c:extLst>
            <c:ext xmlns:c16="http://schemas.microsoft.com/office/drawing/2014/chart" uri="{C3380CC4-5D6E-409C-BE32-E72D297353CC}">
              <c16:uniqueId val="{00000026-844E-4682-A2A9-16C8DE91A3A0}"/>
            </c:ext>
          </c:extLst>
        </c:ser>
        <c:ser>
          <c:idx val="32"/>
          <c:order val="32"/>
          <c:tx>
            <c:v>x=0.0062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6.2000000000000006E-3</c:v>
              </c:pt>
              <c:pt idx="1">
                <c:v>6.2000000000000006E-3</c:v>
              </c:pt>
            </c:numLit>
          </c:yVal>
          <c:smooth val="0"/>
          <c:extLst>
            <c:ext xmlns:c16="http://schemas.microsoft.com/office/drawing/2014/chart" uri="{C3380CC4-5D6E-409C-BE32-E72D297353CC}">
              <c16:uniqueId val="{00000027-844E-4682-A2A9-16C8DE91A3A0}"/>
            </c:ext>
          </c:extLst>
        </c:ser>
        <c:ser>
          <c:idx val="33"/>
          <c:order val="33"/>
          <c:tx>
            <c:v>x=0.0064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6.4000000000000003E-3</c:v>
              </c:pt>
              <c:pt idx="1">
                <c:v>6.4000000000000003E-3</c:v>
              </c:pt>
            </c:numLit>
          </c:yVal>
          <c:smooth val="0"/>
          <c:extLst>
            <c:ext xmlns:c16="http://schemas.microsoft.com/office/drawing/2014/chart" uri="{C3380CC4-5D6E-409C-BE32-E72D297353CC}">
              <c16:uniqueId val="{00000028-844E-4682-A2A9-16C8DE91A3A0}"/>
            </c:ext>
          </c:extLst>
        </c:ser>
        <c:ser>
          <c:idx val="34"/>
          <c:order val="34"/>
          <c:tx>
            <c:v>x=0.0066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6.6E-3</c:v>
              </c:pt>
              <c:pt idx="1">
                <c:v>6.6E-3</c:v>
              </c:pt>
            </c:numLit>
          </c:yVal>
          <c:smooth val="0"/>
          <c:extLst>
            <c:ext xmlns:c16="http://schemas.microsoft.com/office/drawing/2014/chart" uri="{C3380CC4-5D6E-409C-BE32-E72D297353CC}">
              <c16:uniqueId val="{00000029-844E-4682-A2A9-16C8DE91A3A0}"/>
            </c:ext>
          </c:extLst>
        </c:ser>
        <c:ser>
          <c:idx val="35"/>
          <c:order val="35"/>
          <c:tx>
            <c:v>x=0.0068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6.8000000000000005E-3</c:v>
              </c:pt>
              <c:pt idx="1">
                <c:v>6.8000000000000005E-3</c:v>
              </c:pt>
            </c:numLit>
          </c:yVal>
          <c:smooth val="0"/>
          <c:extLst>
            <c:ext xmlns:c16="http://schemas.microsoft.com/office/drawing/2014/chart" uri="{C3380CC4-5D6E-409C-BE32-E72D297353CC}">
              <c16:uniqueId val="{0000002A-844E-4682-A2A9-16C8DE91A3A0}"/>
            </c:ext>
          </c:extLst>
        </c:ser>
        <c:ser>
          <c:idx val="36"/>
          <c:order val="36"/>
          <c:tx>
            <c:v>x=0.007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7.938144731610338</c:v>
              </c:pt>
              <c:pt idx="1">
                <c:v>66.8</c:v>
              </c:pt>
            </c:numLit>
          </c:xVal>
          <c:yVal>
            <c:numLit>
              <c:formatCode>General</c:formatCode>
              <c:ptCount val="2"/>
              <c:pt idx="0">
                <c:v>7.0000000000000001E-3</c:v>
              </c:pt>
              <c:pt idx="1">
                <c:v>7.0000000000000001E-3</c:v>
              </c:pt>
            </c:numLit>
          </c:yVal>
          <c:smooth val="0"/>
          <c:extLst>
            <c:ext xmlns:c16="http://schemas.microsoft.com/office/drawing/2014/chart" uri="{C3380CC4-5D6E-409C-BE32-E72D297353CC}">
              <c16:uniqueId val="{0000002C-844E-4682-A2A9-16C8DE91A3A0}"/>
            </c:ext>
          </c:extLst>
        </c:ser>
        <c:ser>
          <c:idx val="37"/>
          <c:order val="37"/>
          <c:tx>
            <c:v>x=0.0072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7.2000000000000007E-3</c:v>
              </c:pt>
              <c:pt idx="1">
                <c:v>7.2000000000000007E-3</c:v>
              </c:pt>
            </c:numLit>
          </c:yVal>
          <c:smooth val="0"/>
          <c:extLst>
            <c:ext xmlns:c16="http://schemas.microsoft.com/office/drawing/2014/chart" uri="{C3380CC4-5D6E-409C-BE32-E72D297353CC}">
              <c16:uniqueId val="{0000002D-844E-4682-A2A9-16C8DE91A3A0}"/>
            </c:ext>
          </c:extLst>
        </c:ser>
        <c:ser>
          <c:idx val="38"/>
          <c:order val="38"/>
          <c:tx>
            <c:v>x=0.0074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7.4000000000000003E-3</c:v>
              </c:pt>
              <c:pt idx="1">
                <c:v>7.4000000000000003E-3</c:v>
              </c:pt>
            </c:numLit>
          </c:yVal>
          <c:smooth val="0"/>
          <c:extLst>
            <c:ext xmlns:c16="http://schemas.microsoft.com/office/drawing/2014/chart" uri="{C3380CC4-5D6E-409C-BE32-E72D297353CC}">
              <c16:uniqueId val="{0000002E-844E-4682-A2A9-16C8DE91A3A0}"/>
            </c:ext>
          </c:extLst>
        </c:ser>
        <c:ser>
          <c:idx val="39"/>
          <c:order val="39"/>
          <c:tx>
            <c:v>x=0.0076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7.6E-3</c:v>
              </c:pt>
              <c:pt idx="1">
                <c:v>7.6E-3</c:v>
              </c:pt>
            </c:numLit>
          </c:yVal>
          <c:smooth val="0"/>
          <c:extLst>
            <c:ext xmlns:c16="http://schemas.microsoft.com/office/drawing/2014/chart" uri="{C3380CC4-5D6E-409C-BE32-E72D297353CC}">
              <c16:uniqueId val="{0000002F-844E-4682-A2A9-16C8DE91A3A0}"/>
            </c:ext>
          </c:extLst>
        </c:ser>
        <c:ser>
          <c:idx val="40"/>
          <c:order val="40"/>
          <c:tx>
            <c:v>x=0.0078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7.8000000000000005E-3</c:v>
              </c:pt>
              <c:pt idx="1">
                <c:v>7.8000000000000005E-3</c:v>
              </c:pt>
            </c:numLit>
          </c:yVal>
          <c:smooth val="0"/>
          <c:extLst>
            <c:ext xmlns:c16="http://schemas.microsoft.com/office/drawing/2014/chart" uri="{C3380CC4-5D6E-409C-BE32-E72D297353CC}">
              <c16:uniqueId val="{00000030-844E-4682-A2A9-16C8DE91A3A0}"/>
            </c:ext>
          </c:extLst>
        </c:ser>
        <c:ser>
          <c:idx val="41"/>
          <c:order val="41"/>
          <c:tx>
            <c:v>x=0.008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9.8211562624254487</c:v>
              </c:pt>
              <c:pt idx="1">
                <c:v>66.8</c:v>
              </c:pt>
            </c:numLit>
          </c:xVal>
          <c:yVal>
            <c:numLit>
              <c:formatCode>General</c:formatCode>
              <c:ptCount val="2"/>
              <c:pt idx="0">
                <c:v>8.0000000000000002E-3</c:v>
              </c:pt>
              <c:pt idx="1">
                <c:v>8.0000000000000002E-3</c:v>
              </c:pt>
            </c:numLit>
          </c:yVal>
          <c:smooth val="0"/>
          <c:extLst>
            <c:ext xmlns:c16="http://schemas.microsoft.com/office/drawing/2014/chart" uri="{C3380CC4-5D6E-409C-BE32-E72D297353CC}">
              <c16:uniqueId val="{00000032-844E-4682-A2A9-16C8DE91A3A0}"/>
            </c:ext>
          </c:extLst>
        </c:ser>
        <c:ser>
          <c:idx val="42"/>
          <c:order val="42"/>
          <c:tx>
            <c:v>x=0.0082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8.2000000000000007E-3</c:v>
              </c:pt>
              <c:pt idx="1">
                <c:v>8.2000000000000007E-3</c:v>
              </c:pt>
            </c:numLit>
          </c:yVal>
          <c:smooth val="0"/>
          <c:extLst>
            <c:ext xmlns:c16="http://schemas.microsoft.com/office/drawing/2014/chart" uri="{C3380CC4-5D6E-409C-BE32-E72D297353CC}">
              <c16:uniqueId val="{00000033-844E-4682-A2A9-16C8DE91A3A0}"/>
            </c:ext>
          </c:extLst>
        </c:ser>
        <c:ser>
          <c:idx val="43"/>
          <c:order val="43"/>
          <c:tx>
            <c:v>x=0.0084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8.4000000000000012E-3</c:v>
              </c:pt>
              <c:pt idx="1">
                <c:v>8.4000000000000012E-3</c:v>
              </c:pt>
            </c:numLit>
          </c:yVal>
          <c:smooth val="0"/>
          <c:extLst>
            <c:ext xmlns:c16="http://schemas.microsoft.com/office/drawing/2014/chart" uri="{C3380CC4-5D6E-409C-BE32-E72D297353CC}">
              <c16:uniqueId val="{00000034-844E-4682-A2A9-16C8DE91A3A0}"/>
            </c:ext>
          </c:extLst>
        </c:ser>
        <c:ser>
          <c:idx val="44"/>
          <c:order val="44"/>
          <c:tx>
            <c:v>x=0.0086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8.6E-3</c:v>
              </c:pt>
              <c:pt idx="1">
                <c:v>8.6E-3</c:v>
              </c:pt>
            </c:numLit>
          </c:yVal>
          <c:smooth val="0"/>
          <c:extLst>
            <c:ext xmlns:c16="http://schemas.microsoft.com/office/drawing/2014/chart" uri="{C3380CC4-5D6E-409C-BE32-E72D297353CC}">
              <c16:uniqueId val="{00000035-844E-4682-A2A9-16C8DE91A3A0}"/>
            </c:ext>
          </c:extLst>
        </c:ser>
        <c:ser>
          <c:idx val="45"/>
          <c:order val="45"/>
          <c:tx>
            <c:v>x=0.0088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8.8000000000000005E-3</c:v>
              </c:pt>
              <c:pt idx="1">
                <c:v>8.8000000000000005E-3</c:v>
              </c:pt>
            </c:numLit>
          </c:yVal>
          <c:smooth val="0"/>
          <c:extLst>
            <c:ext xmlns:c16="http://schemas.microsoft.com/office/drawing/2014/chart" uri="{C3380CC4-5D6E-409C-BE32-E72D297353CC}">
              <c16:uniqueId val="{00000036-844E-4682-A2A9-16C8DE91A3A0}"/>
            </c:ext>
          </c:extLst>
        </c:ser>
        <c:ser>
          <c:idx val="46"/>
          <c:order val="46"/>
          <c:tx>
            <c:v>x=0.009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11.508087475149106</c:v>
              </c:pt>
              <c:pt idx="1">
                <c:v>66.8</c:v>
              </c:pt>
            </c:numLit>
          </c:xVal>
          <c:yVal>
            <c:numLit>
              <c:formatCode>General</c:formatCode>
              <c:ptCount val="2"/>
              <c:pt idx="0">
                <c:v>9.0000000000000011E-3</c:v>
              </c:pt>
              <c:pt idx="1">
                <c:v>9.0000000000000011E-3</c:v>
              </c:pt>
            </c:numLit>
          </c:yVal>
          <c:smooth val="0"/>
          <c:extLst>
            <c:ext xmlns:c16="http://schemas.microsoft.com/office/drawing/2014/chart" uri="{C3380CC4-5D6E-409C-BE32-E72D297353CC}">
              <c16:uniqueId val="{00000038-844E-4682-A2A9-16C8DE91A3A0}"/>
            </c:ext>
          </c:extLst>
        </c:ser>
        <c:ser>
          <c:idx val="47"/>
          <c:order val="47"/>
          <c:tx>
            <c:v>x=0.0092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9.1999999999999998E-3</c:v>
              </c:pt>
              <c:pt idx="1">
                <c:v>9.1999999999999998E-3</c:v>
              </c:pt>
            </c:numLit>
          </c:yVal>
          <c:smooth val="0"/>
          <c:extLst>
            <c:ext xmlns:c16="http://schemas.microsoft.com/office/drawing/2014/chart" uri="{C3380CC4-5D6E-409C-BE32-E72D297353CC}">
              <c16:uniqueId val="{00000039-844E-4682-A2A9-16C8DE91A3A0}"/>
            </c:ext>
          </c:extLst>
        </c:ser>
        <c:ser>
          <c:idx val="48"/>
          <c:order val="48"/>
          <c:tx>
            <c:v>x=0.0094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9.4000000000000004E-3</c:v>
              </c:pt>
              <c:pt idx="1">
                <c:v>9.4000000000000004E-3</c:v>
              </c:pt>
            </c:numLit>
          </c:yVal>
          <c:smooth val="0"/>
          <c:extLst>
            <c:ext xmlns:c16="http://schemas.microsoft.com/office/drawing/2014/chart" uri="{C3380CC4-5D6E-409C-BE32-E72D297353CC}">
              <c16:uniqueId val="{0000003A-844E-4682-A2A9-16C8DE91A3A0}"/>
            </c:ext>
          </c:extLst>
        </c:ser>
        <c:ser>
          <c:idx val="49"/>
          <c:order val="49"/>
          <c:tx>
            <c:v>x=0.0096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9.6000000000000009E-3</c:v>
              </c:pt>
              <c:pt idx="1">
                <c:v>9.6000000000000009E-3</c:v>
              </c:pt>
            </c:numLit>
          </c:yVal>
          <c:smooth val="0"/>
          <c:extLst>
            <c:ext xmlns:c16="http://schemas.microsoft.com/office/drawing/2014/chart" uri="{C3380CC4-5D6E-409C-BE32-E72D297353CC}">
              <c16:uniqueId val="{0000003B-844E-4682-A2A9-16C8DE91A3A0}"/>
            </c:ext>
          </c:extLst>
        </c:ser>
        <c:ser>
          <c:idx val="50"/>
          <c:order val="50"/>
          <c:tx>
            <c:v>x=0.0098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9.7999999999999997E-3</c:v>
              </c:pt>
              <c:pt idx="1">
                <c:v>9.7999999999999997E-3</c:v>
              </c:pt>
            </c:numLit>
          </c:yVal>
          <c:smooth val="0"/>
          <c:extLst>
            <c:ext xmlns:c16="http://schemas.microsoft.com/office/drawing/2014/chart" uri="{C3380CC4-5D6E-409C-BE32-E72D297353CC}">
              <c16:uniqueId val="{0000003C-844E-4682-A2A9-16C8DE91A3A0}"/>
            </c:ext>
          </c:extLst>
        </c:ser>
        <c:ser>
          <c:idx val="51"/>
          <c:order val="51"/>
          <c:tx>
            <c:v>x=0.01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13.018198807157058</c:v>
              </c:pt>
              <c:pt idx="1">
                <c:v>66.8</c:v>
              </c:pt>
            </c:numLit>
          </c:xVal>
          <c:yVal>
            <c:numLit>
              <c:formatCode>General</c:formatCode>
              <c:ptCount val="2"/>
              <c:pt idx="0">
                <c:v>0.01</c:v>
              </c:pt>
              <c:pt idx="1">
                <c:v>0.01</c:v>
              </c:pt>
            </c:numLit>
          </c:yVal>
          <c:smooth val="0"/>
          <c:extLst>
            <c:ext xmlns:c16="http://schemas.microsoft.com/office/drawing/2014/chart" uri="{C3380CC4-5D6E-409C-BE32-E72D297353CC}">
              <c16:uniqueId val="{0000003E-844E-4682-A2A9-16C8DE91A3A0}"/>
            </c:ext>
          </c:extLst>
        </c:ser>
        <c:ser>
          <c:idx val="52"/>
          <c:order val="52"/>
          <c:tx>
            <c:v>x=0.0102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1.0200000000000001E-2</c:v>
              </c:pt>
              <c:pt idx="1">
                <c:v>1.0200000000000001E-2</c:v>
              </c:pt>
            </c:numLit>
          </c:yVal>
          <c:smooth val="0"/>
          <c:extLst>
            <c:ext xmlns:c16="http://schemas.microsoft.com/office/drawing/2014/chart" uri="{C3380CC4-5D6E-409C-BE32-E72D297353CC}">
              <c16:uniqueId val="{0000003F-844E-4682-A2A9-16C8DE91A3A0}"/>
            </c:ext>
          </c:extLst>
        </c:ser>
        <c:ser>
          <c:idx val="53"/>
          <c:order val="53"/>
          <c:tx>
            <c:v>x=0.0104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1.0400000000000001E-2</c:v>
              </c:pt>
              <c:pt idx="1">
                <c:v>1.0400000000000001E-2</c:v>
              </c:pt>
            </c:numLit>
          </c:yVal>
          <c:smooth val="0"/>
          <c:extLst>
            <c:ext xmlns:c16="http://schemas.microsoft.com/office/drawing/2014/chart" uri="{C3380CC4-5D6E-409C-BE32-E72D297353CC}">
              <c16:uniqueId val="{00000040-844E-4682-A2A9-16C8DE91A3A0}"/>
            </c:ext>
          </c:extLst>
        </c:ser>
        <c:ser>
          <c:idx val="54"/>
          <c:order val="54"/>
          <c:tx>
            <c:v>x=0.0106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1.06E-2</c:v>
              </c:pt>
              <c:pt idx="1">
                <c:v>1.06E-2</c:v>
              </c:pt>
            </c:numLit>
          </c:yVal>
          <c:smooth val="0"/>
          <c:extLst>
            <c:ext xmlns:c16="http://schemas.microsoft.com/office/drawing/2014/chart" uri="{C3380CC4-5D6E-409C-BE32-E72D297353CC}">
              <c16:uniqueId val="{00000041-844E-4682-A2A9-16C8DE91A3A0}"/>
            </c:ext>
          </c:extLst>
        </c:ser>
        <c:ser>
          <c:idx val="55"/>
          <c:order val="55"/>
          <c:tx>
            <c:v>x=0.0108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1.0800000000000001E-2</c:v>
              </c:pt>
              <c:pt idx="1">
                <c:v>1.0800000000000001E-2</c:v>
              </c:pt>
            </c:numLit>
          </c:yVal>
          <c:smooth val="0"/>
          <c:extLst>
            <c:ext xmlns:c16="http://schemas.microsoft.com/office/drawing/2014/chart" uri="{C3380CC4-5D6E-409C-BE32-E72D297353CC}">
              <c16:uniqueId val="{00000042-844E-4682-A2A9-16C8DE91A3A0}"/>
            </c:ext>
          </c:extLst>
        </c:ser>
        <c:ser>
          <c:idx val="56"/>
          <c:order val="56"/>
          <c:tx>
            <c:v>x=0.011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14.40150874751491</c:v>
              </c:pt>
              <c:pt idx="1">
                <c:v>66.8</c:v>
              </c:pt>
            </c:numLit>
          </c:xVal>
          <c:yVal>
            <c:numLit>
              <c:formatCode>General</c:formatCode>
              <c:ptCount val="2"/>
              <c:pt idx="0">
                <c:v>1.1000000000000001E-2</c:v>
              </c:pt>
              <c:pt idx="1">
                <c:v>1.1000000000000001E-2</c:v>
              </c:pt>
            </c:numLit>
          </c:yVal>
          <c:smooth val="0"/>
          <c:extLst>
            <c:ext xmlns:c16="http://schemas.microsoft.com/office/drawing/2014/chart" uri="{C3380CC4-5D6E-409C-BE32-E72D297353CC}">
              <c16:uniqueId val="{00000044-844E-4682-A2A9-16C8DE91A3A0}"/>
            </c:ext>
          </c:extLst>
        </c:ser>
        <c:ser>
          <c:idx val="57"/>
          <c:order val="57"/>
          <c:tx>
            <c:v>x=0.0112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1.12E-2</c:v>
              </c:pt>
              <c:pt idx="1">
                <c:v>1.12E-2</c:v>
              </c:pt>
            </c:numLit>
          </c:yVal>
          <c:smooth val="0"/>
          <c:extLst>
            <c:ext xmlns:c16="http://schemas.microsoft.com/office/drawing/2014/chart" uri="{C3380CC4-5D6E-409C-BE32-E72D297353CC}">
              <c16:uniqueId val="{00000045-844E-4682-A2A9-16C8DE91A3A0}"/>
            </c:ext>
          </c:extLst>
        </c:ser>
        <c:ser>
          <c:idx val="58"/>
          <c:order val="58"/>
          <c:tx>
            <c:v>x=0.0114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1.14E-2</c:v>
              </c:pt>
              <c:pt idx="1">
                <c:v>1.14E-2</c:v>
              </c:pt>
            </c:numLit>
          </c:yVal>
          <c:smooth val="0"/>
          <c:extLst>
            <c:ext xmlns:c16="http://schemas.microsoft.com/office/drawing/2014/chart" uri="{C3380CC4-5D6E-409C-BE32-E72D297353CC}">
              <c16:uniqueId val="{00000046-844E-4682-A2A9-16C8DE91A3A0}"/>
            </c:ext>
          </c:extLst>
        </c:ser>
        <c:ser>
          <c:idx val="59"/>
          <c:order val="59"/>
          <c:tx>
            <c:v>x=0.0116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1.1600000000000001E-2</c:v>
              </c:pt>
              <c:pt idx="1">
                <c:v>1.1600000000000001E-2</c:v>
              </c:pt>
            </c:numLit>
          </c:yVal>
          <c:smooth val="0"/>
          <c:extLst>
            <c:ext xmlns:c16="http://schemas.microsoft.com/office/drawing/2014/chart" uri="{C3380CC4-5D6E-409C-BE32-E72D297353CC}">
              <c16:uniqueId val="{00000047-844E-4682-A2A9-16C8DE91A3A0}"/>
            </c:ext>
          </c:extLst>
        </c:ser>
        <c:ser>
          <c:idx val="60"/>
          <c:order val="60"/>
          <c:tx>
            <c:v>x=0.0118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1.18E-2</c:v>
              </c:pt>
              <c:pt idx="1">
                <c:v>1.18E-2</c:v>
              </c:pt>
            </c:numLit>
          </c:yVal>
          <c:smooth val="0"/>
          <c:extLst>
            <c:ext xmlns:c16="http://schemas.microsoft.com/office/drawing/2014/chart" uri="{C3380CC4-5D6E-409C-BE32-E72D297353CC}">
              <c16:uniqueId val="{00000048-844E-4682-A2A9-16C8DE91A3A0}"/>
            </c:ext>
          </c:extLst>
        </c:ser>
        <c:ser>
          <c:idx val="61"/>
          <c:order val="61"/>
          <c:tx>
            <c:v>x=0.012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15.677739960238569</c:v>
              </c:pt>
              <c:pt idx="1">
                <c:v>66.8</c:v>
              </c:pt>
            </c:numLit>
          </c:xVal>
          <c:yVal>
            <c:numLit>
              <c:formatCode>General</c:formatCode>
              <c:ptCount val="2"/>
              <c:pt idx="0">
                <c:v>1.2E-2</c:v>
              </c:pt>
              <c:pt idx="1">
                <c:v>1.2E-2</c:v>
              </c:pt>
            </c:numLit>
          </c:yVal>
          <c:smooth val="0"/>
          <c:extLst>
            <c:ext xmlns:c16="http://schemas.microsoft.com/office/drawing/2014/chart" uri="{C3380CC4-5D6E-409C-BE32-E72D297353CC}">
              <c16:uniqueId val="{0000004A-844E-4682-A2A9-16C8DE91A3A0}"/>
            </c:ext>
          </c:extLst>
        </c:ser>
        <c:ser>
          <c:idx val="62"/>
          <c:order val="62"/>
          <c:tx>
            <c:v>x=0.0122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1.2200000000000001E-2</c:v>
              </c:pt>
              <c:pt idx="1">
                <c:v>1.2200000000000001E-2</c:v>
              </c:pt>
            </c:numLit>
          </c:yVal>
          <c:smooth val="0"/>
          <c:extLst>
            <c:ext xmlns:c16="http://schemas.microsoft.com/office/drawing/2014/chart" uri="{C3380CC4-5D6E-409C-BE32-E72D297353CC}">
              <c16:uniqueId val="{0000004B-844E-4682-A2A9-16C8DE91A3A0}"/>
            </c:ext>
          </c:extLst>
        </c:ser>
        <c:ser>
          <c:idx val="63"/>
          <c:order val="63"/>
          <c:tx>
            <c:v>x=0.0124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1.2400000000000001E-2</c:v>
              </c:pt>
              <c:pt idx="1">
                <c:v>1.2400000000000001E-2</c:v>
              </c:pt>
            </c:numLit>
          </c:yVal>
          <c:smooth val="0"/>
          <c:extLst>
            <c:ext xmlns:c16="http://schemas.microsoft.com/office/drawing/2014/chart" uri="{C3380CC4-5D6E-409C-BE32-E72D297353CC}">
              <c16:uniqueId val="{0000004C-844E-4682-A2A9-16C8DE91A3A0}"/>
            </c:ext>
          </c:extLst>
        </c:ser>
        <c:ser>
          <c:idx val="64"/>
          <c:order val="64"/>
          <c:tx>
            <c:v>x=0.0126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1.26E-2</c:v>
              </c:pt>
              <c:pt idx="1">
                <c:v>1.26E-2</c:v>
              </c:pt>
            </c:numLit>
          </c:yVal>
          <c:smooth val="0"/>
          <c:extLst>
            <c:ext xmlns:c16="http://schemas.microsoft.com/office/drawing/2014/chart" uri="{C3380CC4-5D6E-409C-BE32-E72D297353CC}">
              <c16:uniqueId val="{0000004D-844E-4682-A2A9-16C8DE91A3A0}"/>
            </c:ext>
          </c:extLst>
        </c:ser>
        <c:ser>
          <c:idx val="65"/>
          <c:order val="65"/>
          <c:tx>
            <c:v>x=0.0128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1.2800000000000001E-2</c:v>
              </c:pt>
              <c:pt idx="1">
                <c:v>1.2800000000000001E-2</c:v>
              </c:pt>
            </c:numLit>
          </c:yVal>
          <c:smooth val="0"/>
          <c:extLst>
            <c:ext xmlns:c16="http://schemas.microsoft.com/office/drawing/2014/chart" uri="{C3380CC4-5D6E-409C-BE32-E72D297353CC}">
              <c16:uniqueId val="{0000004E-844E-4682-A2A9-16C8DE91A3A0}"/>
            </c:ext>
          </c:extLst>
        </c:ser>
        <c:ser>
          <c:idx val="66"/>
          <c:order val="66"/>
          <c:tx>
            <c:v>x=0.013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16.856522664015905</c:v>
              </c:pt>
              <c:pt idx="1">
                <c:v>66.8</c:v>
              </c:pt>
            </c:numLit>
          </c:xVal>
          <c:yVal>
            <c:numLit>
              <c:formatCode>General</c:formatCode>
              <c:ptCount val="2"/>
              <c:pt idx="0">
                <c:v>1.3000000000000001E-2</c:v>
              </c:pt>
              <c:pt idx="1">
                <c:v>1.3000000000000001E-2</c:v>
              </c:pt>
            </c:numLit>
          </c:yVal>
          <c:smooth val="0"/>
          <c:extLst>
            <c:ext xmlns:c16="http://schemas.microsoft.com/office/drawing/2014/chart" uri="{C3380CC4-5D6E-409C-BE32-E72D297353CC}">
              <c16:uniqueId val="{00000050-844E-4682-A2A9-16C8DE91A3A0}"/>
            </c:ext>
          </c:extLst>
        </c:ser>
        <c:ser>
          <c:idx val="67"/>
          <c:order val="67"/>
          <c:tx>
            <c:v>x=0.0132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1.32E-2</c:v>
              </c:pt>
              <c:pt idx="1">
                <c:v>1.32E-2</c:v>
              </c:pt>
            </c:numLit>
          </c:yVal>
          <c:smooth val="0"/>
          <c:extLst>
            <c:ext xmlns:c16="http://schemas.microsoft.com/office/drawing/2014/chart" uri="{C3380CC4-5D6E-409C-BE32-E72D297353CC}">
              <c16:uniqueId val="{00000051-844E-4682-A2A9-16C8DE91A3A0}"/>
            </c:ext>
          </c:extLst>
        </c:ser>
        <c:ser>
          <c:idx val="68"/>
          <c:order val="68"/>
          <c:tx>
            <c:v>x=0.0134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1.34E-2</c:v>
              </c:pt>
              <c:pt idx="1">
                <c:v>1.34E-2</c:v>
              </c:pt>
            </c:numLit>
          </c:yVal>
          <c:smooth val="0"/>
          <c:extLst>
            <c:ext xmlns:c16="http://schemas.microsoft.com/office/drawing/2014/chart" uri="{C3380CC4-5D6E-409C-BE32-E72D297353CC}">
              <c16:uniqueId val="{00000052-844E-4682-A2A9-16C8DE91A3A0}"/>
            </c:ext>
          </c:extLst>
        </c:ser>
        <c:ser>
          <c:idx val="69"/>
          <c:order val="69"/>
          <c:tx>
            <c:v>x=0.0136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1.3600000000000001E-2</c:v>
              </c:pt>
              <c:pt idx="1">
                <c:v>1.3600000000000001E-2</c:v>
              </c:pt>
            </c:numLit>
          </c:yVal>
          <c:smooth val="0"/>
          <c:extLst>
            <c:ext xmlns:c16="http://schemas.microsoft.com/office/drawing/2014/chart" uri="{C3380CC4-5D6E-409C-BE32-E72D297353CC}">
              <c16:uniqueId val="{00000053-844E-4682-A2A9-16C8DE91A3A0}"/>
            </c:ext>
          </c:extLst>
        </c:ser>
        <c:ser>
          <c:idx val="70"/>
          <c:order val="70"/>
          <c:tx>
            <c:v>x=0.0138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1.3800000000000002E-2</c:v>
              </c:pt>
              <c:pt idx="1">
                <c:v>1.3800000000000002E-2</c:v>
              </c:pt>
            </c:numLit>
          </c:yVal>
          <c:smooth val="0"/>
          <c:extLst>
            <c:ext xmlns:c16="http://schemas.microsoft.com/office/drawing/2014/chart" uri="{C3380CC4-5D6E-409C-BE32-E72D297353CC}">
              <c16:uniqueId val="{00000054-844E-4682-A2A9-16C8DE91A3A0}"/>
            </c:ext>
          </c:extLst>
        </c:ser>
        <c:ser>
          <c:idx val="71"/>
          <c:order val="71"/>
          <c:tx>
            <c:v>x=0.014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17.957819880715707</c:v>
              </c:pt>
              <c:pt idx="1">
                <c:v>66.8</c:v>
              </c:pt>
            </c:numLit>
          </c:xVal>
          <c:yVal>
            <c:numLit>
              <c:formatCode>General</c:formatCode>
              <c:ptCount val="2"/>
              <c:pt idx="0">
                <c:v>1.4E-2</c:v>
              </c:pt>
              <c:pt idx="1">
                <c:v>1.4E-2</c:v>
              </c:pt>
            </c:numLit>
          </c:yVal>
          <c:smooth val="0"/>
          <c:extLst>
            <c:ext xmlns:c16="http://schemas.microsoft.com/office/drawing/2014/chart" uri="{C3380CC4-5D6E-409C-BE32-E72D297353CC}">
              <c16:uniqueId val="{00000056-844E-4682-A2A9-16C8DE91A3A0}"/>
            </c:ext>
          </c:extLst>
        </c:ser>
        <c:ser>
          <c:idx val="72"/>
          <c:order val="72"/>
          <c:tx>
            <c:v>x=0.0142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1.4200000000000001E-2</c:v>
              </c:pt>
              <c:pt idx="1">
                <c:v>1.4200000000000001E-2</c:v>
              </c:pt>
            </c:numLit>
          </c:yVal>
          <c:smooth val="0"/>
          <c:extLst>
            <c:ext xmlns:c16="http://schemas.microsoft.com/office/drawing/2014/chart" uri="{C3380CC4-5D6E-409C-BE32-E72D297353CC}">
              <c16:uniqueId val="{00000057-844E-4682-A2A9-16C8DE91A3A0}"/>
            </c:ext>
          </c:extLst>
        </c:ser>
        <c:ser>
          <c:idx val="73"/>
          <c:order val="73"/>
          <c:tx>
            <c:v>x=0.0144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1.4400000000000001E-2</c:v>
              </c:pt>
              <c:pt idx="1">
                <c:v>1.4400000000000001E-2</c:v>
              </c:pt>
            </c:numLit>
          </c:yVal>
          <c:smooth val="0"/>
          <c:extLst>
            <c:ext xmlns:c16="http://schemas.microsoft.com/office/drawing/2014/chart" uri="{C3380CC4-5D6E-409C-BE32-E72D297353CC}">
              <c16:uniqueId val="{00000058-844E-4682-A2A9-16C8DE91A3A0}"/>
            </c:ext>
          </c:extLst>
        </c:ser>
        <c:ser>
          <c:idx val="74"/>
          <c:order val="74"/>
          <c:tx>
            <c:v>x=0.0146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1.46E-2</c:v>
              </c:pt>
              <c:pt idx="1">
                <c:v>1.46E-2</c:v>
              </c:pt>
            </c:numLit>
          </c:yVal>
          <c:smooth val="0"/>
          <c:extLst>
            <c:ext xmlns:c16="http://schemas.microsoft.com/office/drawing/2014/chart" uri="{C3380CC4-5D6E-409C-BE32-E72D297353CC}">
              <c16:uniqueId val="{00000059-844E-4682-A2A9-16C8DE91A3A0}"/>
            </c:ext>
          </c:extLst>
        </c:ser>
        <c:ser>
          <c:idx val="75"/>
          <c:order val="75"/>
          <c:tx>
            <c:v>x=0.0148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1.4800000000000001E-2</c:v>
              </c:pt>
              <c:pt idx="1">
                <c:v>1.4800000000000001E-2</c:v>
              </c:pt>
            </c:numLit>
          </c:yVal>
          <c:smooth val="0"/>
          <c:extLst>
            <c:ext xmlns:c16="http://schemas.microsoft.com/office/drawing/2014/chart" uri="{C3380CC4-5D6E-409C-BE32-E72D297353CC}">
              <c16:uniqueId val="{0000005A-844E-4682-A2A9-16C8DE91A3A0}"/>
            </c:ext>
          </c:extLst>
        </c:ser>
        <c:ser>
          <c:idx val="76"/>
          <c:order val="76"/>
          <c:tx>
            <c:v>x=0.015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18.991465208747517</c:v>
              </c:pt>
              <c:pt idx="1">
                <c:v>66.8</c:v>
              </c:pt>
            </c:numLit>
          </c:xVal>
          <c:yVal>
            <c:numLit>
              <c:formatCode>General</c:formatCode>
              <c:ptCount val="2"/>
              <c:pt idx="0">
                <c:v>1.5000000000000001E-2</c:v>
              </c:pt>
              <c:pt idx="1">
                <c:v>1.5000000000000001E-2</c:v>
              </c:pt>
            </c:numLit>
          </c:yVal>
          <c:smooth val="0"/>
          <c:extLst>
            <c:ext xmlns:c16="http://schemas.microsoft.com/office/drawing/2014/chart" uri="{C3380CC4-5D6E-409C-BE32-E72D297353CC}">
              <c16:uniqueId val="{0000005C-844E-4682-A2A9-16C8DE91A3A0}"/>
            </c:ext>
          </c:extLst>
        </c:ser>
        <c:ser>
          <c:idx val="77"/>
          <c:order val="77"/>
          <c:tx>
            <c:v>x=0.0152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1.52E-2</c:v>
              </c:pt>
              <c:pt idx="1">
                <c:v>1.52E-2</c:v>
              </c:pt>
            </c:numLit>
          </c:yVal>
          <c:smooth val="0"/>
          <c:extLst>
            <c:ext xmlns:c16="http://schemas.microsoft.com/office/drawing/2014/chart" uri="{C3380CC4-5D6E-409C-BE32-E72D297353CC}">
              <c16:uniqueId val="{0000005D-844E-4682-A2A9-16C8DE91A3A0}"/>
            </c:ext>
          </c:extLst>
        </c:ser>
        <c:ser>
          <c:idx val="78"/>
          <c:order val="78"/>
          <c:tx>
            <c:v>x=0.0154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1.54E-2</c:v>
              </c:pt>
              <c:pt idx="1">
                <c:v>1.54E-2</c:v>
              </c:pt>
            </c:numLit>
          </c:yVal>
          <c:smooth val="0"/>
          <c:extLst>
            <c:ext xmlns:c16="http://schemas.microsoft.com/office/drawing/2014/chart" uri="{C3380CC4-5D6E-409C-BE32-E72D297353CC}">
              <c16:uniqueId val="{0000005E-844E-4682-A2A9-16C8DE91A3A0}"/>
            </c:ext>
          </c:extLst>
        </c:ser>
        <c:ser>
          <c:idx val="79"/>
          <c:order val="79"/>
          <c:tx>
            <c:v>x=0.0156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1.5600000000000001E-2</c:v>
              </c:pt>
              <c:pt idx="1">
                <c:v>1.5600000000000001E-2</c:v>
              </c:pt>
            </c:numLit>
          </c:yVal>
          <c:smooth val="0"/>
          <c:extLst>
            <c:ext xmlns:c16="http://schemas.microsoft.com/office/drawing/2014/chart" uri="{C3380CC4-5D6E-409C-BE32-E72D297353CC}">
              <c16:uniqueId val="{0000005F-844E-4682-A2A9-16C8DE91A3A0}"/>
            </c:ext>
          </c:extLst>
        </c:ser>
        <c:ser>
          <c:idx val="80"/>
          <c:order val="80"/>
          <c:tx>
            <c:v>x=0.0158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1.5800000000000002E-2</c:v>
              </c:pt>
              <c:pt idx="1">
                <c:v>1.5800000000000002E-2</c:v>
              </c:pt>
            </c:numLit>
          </c:yVal>
          <c:smooth val="0"/>
          <c:extLst>
            <c:ext xmlns:c16="http://schemas.microsoft.com/office/drawing/2014/chart" uri="{C3380CC4-5D6E-409C-BE32-E72D297353CC}">
              <c16:uniqueId val="{00000060-844E-4682-A2A9-16C8DE91A3A0}"/>
            </c:ext>
          </c:extLst>
        </c:ser>
        <c:ser>
          <c:idx val="81"/>
          <c:order val="81"/>
          <c:tx>
            <c:v>x=0.016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19.957070377733601</c:v>
              </c:pt>
              <c:pt idx="1">
                <c:v>66.8</c:v>
              </c:pt>
            </c:numLit>
          </c:xVal>
          <c:yVal>
            <c:numLit>
              <c:formatCode>General</c:formatCode>
              <c:ptCount val="2"/>
              <c:pt idx="0">
                <c:v>1.6E-2</c:v>
              </c:pt>
              <c:pt idx="1">
                <c:v>1.6E-2</c:v>
              </c:pt>
            </c:numLit>
          </c:yVal>
          <c:smooth val="0"/>
          <c:extLst>
            <c:ext xmlns:c16="http://schemas.microsoft.com/office/drawing/2014/chart" uri="{C3380CC4-5D6E-409C-BE32-E72D297353CC}">
              <c16:uniqueId val="{00000062-844E-4682-A2A9-16C8DE91A3A0}"/>
            </c:ext>
          </c:extLst>
        </c:ser>
        <c:ser>
          <c:idx val="82"/>
          <c:order val="82"/>
          <c:tx>
            <c:v>x=0.0162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1.6199999999999999E-2</c:v>
              </c:pt>
              <c:pt idx="1">
                <c:v>1.6199999999999999E-2</c:v>
              </c:pt>
            </c:numLit>
          </c:yVal>
          <c:smooth val="0"/>
          <c:extLst>
            <c:ext xmlns:c16="http://schemas.microsoft.com/office/drawing/2014/chart" uri="{C3380CC4-5D6E-409C-BE32-E72D297353CC}">
              <c16:uniqueId val="{00000063-844E-4682-A2A9-16C8DE91A3A0}"/>
            </c:ext>
          </c:extLst>
        </c:ser>
        <c:ser>
          <c:idx val="83"/>
          <c:order val="83"/>
          <c:tx>
            <c:v>x=0.0164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1.6400000000000001E-2</c:v>
              </c:pt>
              <c:pt idx="1">
                <c:v>1.6400000000000001E-2</c:v>
              </c:pt>
            </c:numLit>
          </c:yVal>
          <c:smooth val="0"/>
          <c:extLst>
            <c:ext xmlns:c16="http://schemas.microsoft.com/office/drawing/2014/chart" uri="{C3380CC4-5D6E-409C-BE32-E72D297353CC}">
              <c16:uniqueId val="{00000064-844E-4682-A2A9-16C8DE91A3A0}"/>
            </c:ext>
          </c:extLst>
        </c:ser>
        <c:ser>
          <c:idx val="84"/>
          <c:order val="84"/>
          <c:tx>
            <c:v>x=0.0166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1.66E-2</c:v>
              </c:pt>
              <c:pt idx="1">
                <c:v>1.66E-2</c:v>
              </c:pt>
            </c:numLit>
          </c:yVal>
          <c:smooth val="0"/>
          <c:extLst>
            <c:ext xmlns:c16="http://schemas.microsoft.com/office/drawing/2014/chart" uri="{C3380CC4-5D6E-409C-BE32-E72D297353CC}">
              <c16:uniqueId val="{00000065-844E-4682-A2A9-16C8DE91A3A0}"/>
            </c:ext>
          </c:extLst>
        </c:ser>
        <c:ser>
          <c:idx val="85"/>
          <c:order val="85"/>
          <c:tx>
            <c:v>x=0.0168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1.6800000000000002E-2</c:v>
              </c:pt>
              <c:pt idx="1">
                <c:v>1.6800000000000002E-2</c:v>
              </c:pt>
            </c:numLit>
          </c:yVal>
          <c:smooth val="0"/>
          <c:extLst>
            <c:ext xmlns:c16="http://schemas.microsoft.com/office/drawing/2014/chart" uri="{C3380CC4-5D6E-409C-BE32-E72D297353CC}">
              <c16:uniqueId val="{00000066-844E-4682-A2A9-16C8DE91A3A0}"/>
            </c:ext>
          </c:extLst>
        </c:ser>
        <c:ser>
          <c:idx val="86"/>
          <c:order val="86"/>
          <c:tx>
            <c:v>x=0.017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7-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20.87487574552684</c:v>
              </c:pt>
              <c:pt idx="1">
                <c:v>66.8</c:v>
              </c:pt>
            </c:numLit>
          </c:xVal>
          <c:yVal>
            <c:numLit>
              <c:formatCode>General</c:formatCode>
              <c:ptCount val="2"/>
              <c:pt idx="0">
                <c:v>1.7000000000000001E-2</c:v>
              </c:pt>
              <c:pt idx="1">
                <c:v>1.7000000000000001E-2</c:v>
              </c:pt>
            </c:numLit>
          </c:yVal>
          <c:smooth val="0"/>
          <c:extLst>
            <c:ext xmlns:c16="http://schemas.microsoft.com/office/drawing/2014/chart" uri="{C3380CC4-5D6E-409C-BE32-E72D297353CC}">
              <c16:uniqueId val="{00000068-844E-4682-A2A9-16C8DE91A3A0}"/>
            </c:ext>
          </c:extLst>
        </c:ser>
        <c:ser>
          <c:idx val="87"/>
          <c:order val="87"/>
          <c:tx>
            <c:v>x=0.0172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1.72E-2</c:v>
              </c:pt>
              <c:pt idx="1">
                <c:v>1.72E-2</c:v>
              </c:pt>
            </c:numLit>
          </c:yVal>
          <c:smooth val="0"/>
          <c:extLst>
            <c:ext xmlns:c16="http://schemas.microsoft.com/office/drawing/2014/chart" uri="{C3380CC4-5D6E-409C-BE32-E72D297353CC}">
              <c16:uniqueId val="{00000069-844E-4682-A2A9-16C8DE91A3A0}"/>
            </c:ext>
          </c:extLst>
        </c:ser>
        <c:ser>
          <c:idx val="88"/>
          <c:order val="88"/>
          <c:tx>
            <c:v>x=0.0174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1.7400000000000002E-2</c:v>
              </c:pt>
              <c:pt idx="1">
                <c:v>1.7400000000000002E-2</c:v>
              </c:pt>
            </c:numLit>
          </c:yVal>
          <c:smooth val="0"/>
          <c:extLst>
            <c:ext xmlns:c16="http://schemas.microsoft.com/office/drawing/2014/chart" uri="{C3380CC4-5D6E-409C-BE32-E72D297353CC}">
              <c16:uniqueId val="{0000006A-844E-4682-A2A9-16C8DE91A3A0}"/>
            </c:ext>
          </c:extLst>
        </c:ser>
        <c:ser>
          <c:idx val="89"/>
          <c:order val="89"/>
          <c:tx>
            <c:v>x=0.0176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1.7600000000000001E-2</c:v>
              </c:pt>
              <c:pt idx="1">
                <c:v>1.7600000000000001E-2</c:v>
              </c:pt>
            </c:numLit>
          </c:yVal>
          <c:smooth val="0"/>
          <c:extLst>
            <c:ext xmlns:c16="http://schemas.microsoft.com/office/drawing/2014/chart" uri="{C3380CC4-5D6E-409C-BE32-E72D297353CC}">
              <c16:uniqueId val="{0000006B-844E-4682-A2A9-16C8DE91A3A0}"/>
            </c:ext>
          </c:extLst>
        </c:ser>
        <c:ser>
          <c:idx val="90"/>
          <c:order val="90"/>
          <c:tx>
            <c:v>x=0.0178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1.78E-2</c:v>
              </c:pt>
              <c:pt idx="1">
                <c:v>1.78E-2</c:v>
              </c:pt>
            </c:numLit>
          </c:yVal>
          <c:smooth val="0"/>
          <c:extLst>
            <c:ext xmlns:c16="http://schemas.microsoft.com/office/drawing/2014/chart" uri="{C3380CC4-5D6E-409C-BE32-E72D297353CC}">
              <c16:uniqueId val="{0000006C-844E-4682-A2A9-16C8DE91A3A0}"/>
            </c:ext>
          </c:extLst>
        </c:ser>
        <c:ser>
          <c:idx val="91"/>
          <c:order val="91"/>
          <c:tx>
            <c:v>x=0.018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21.734271172962224</c:v>
              </c:pt>
              <c:pt idx="1">
                <c:v>66.8</c:v>
              </c:pt>
            </c:numLit>
          </c:xVal>
          <c:yVal>
            <c:numLit>
              <c:formatCode>General</c:formatCode>
              <c:ptCount val="2"/>
              <c:pt idx="0">
                <c:v>1.8000000000000002E-2</c:v>
              </c:pt>
              <c:pt idx="1">
                <c:v>1.8000000000000002E-2</c:v>
              </c:pt>
            </c:numLit>
          </c:yVal>
          <c:smooth val="0"/>
          <c:extLst>
            <c:ext xmlns:c16="http://schemas.microsoft.com/office/drawing/2014/chart" uri="{C3380CC4-5D6E-409C-BE32-E72D297353CC}">
              <c16:uniqueId val="{0000006E-844E-4682-A2A9-16C8DE91A3A0}"/>
            </c:ext>
          </c:extLst>
        </c:ser>
        <c:ser>
          <c:idx val="92"/>
          <c:order val="92"/>
          <c:tx>
            <c:v>x=0.0182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1.8200000000000001E-2</c:v>
              </c:pt>
              <c:pt idx="1">
                <c:v>1.8200000000000001E-2</c:v>
              </c:pt>
            </c:numLit>
          </c:yVal>
          <c:smooth val="0"/>
          <c:extLst>
            <c:ext xmlns:c16="http://schemas.microsoft.com/office/drawing/2014/chart" uri="{C3380CC4-5D6E-409C-BE32-E72D297353CC}">
              <c16:uniqueId val="{0000006F-844E-4682-A2A9-16C8DE91A3A0}"/>
            </c:ext>
          </c:extLst>
        </c:ser>
        <c:ser>
          <c:idx val="93"/>
          <c:order val="93"/>
          <c:tx>
            <c:v>x=0.0184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1.84E-2</c:v>
              </c:pt>
              <c:pt idx="1">
                <c:v>1.84E-2</c:v>
              </c:pt>
            </c:numLit>
          </c:yVal>
          <c:smooth val="0"/>
          <c:extLst>
            <c:ext xmlns:c16="http://schemas.microsoft.com/office/drawing/2014/chart" uri="{C3380CC4-5D6E-409C-BE32-E72D297353CC}">
              <c16:uniqueId val="{00000070-844E-4682-A2A9-16C8DE91A3A0}"/>
            </c:ext>
          </c:extLst>
        </c:ser>
        <c:ser>
          <c:idx val="94"/>
          <c:order val="94"/>
          <c:tx>
            <c:v>x=0.0186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1.8600000000000002E-2</c:v>
              </c:pt>
              <c:pt idx="1">
                <c:v>1.8600000000000002E-2</c:v>
              </c:pt>
            </c:numLit>
          </c:yVal>
          <c:smooth val="0"/>
          <c:extLst>
            <c:ext xmlns:c16="http://schemas.microsoft.com/office/drawing/2014/chart" uri="{C3380CC4-5D6E-409C-BE32-E72D297353CC}">
              <c16:uniqueId val="{00000071-844E-4682-A2A9-16C8DE91A3A0}"/>
            </c:ext>
          </c:extLst>
        </c:ser>
        <c:ser>
          <c:idx val="95"/>
          <c:order val="95"/>
          <c:tx>
            <c:v>x=0.0188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1.8800000000000001E-2</c:v>
              </c:pt>
              <c:pt idx="1">
                <c:v>1.8800000000000001E-2</c:v>
              </c:pt>
            </c:numLit>
          </c:yVal>
          <c:smooth val="0"/>
          <c:extLst>
            <c:ext xmlns:c16="http://schemas.microsoft.com/office/drawing/2014/chart" uri="{C3380CC4-5D6E-409C-BE32-E72D297353CC}">
              <c16:uniqueId val="{00000072-844E-4682-A2A9-16C8DE91A3A0}"/>
            </c:ext>
          </c:extLst>
        </c:ser>
        <c:ser>
          <c:idx val="96"/>
          <c:order val="96"/>
          <c:tx>
            <c:v>x=0.019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3-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22.555626441351887</c:v>
              </c:pt>
              <c:pt idx="1">
                <c:v>66.8</c:v>
              </c:pt>
            </c:numLit>
          </c:xVal>
          <c:yVal>
            <c:numLit>
              <c:formatCode>General</c:formatCode>
              <c:ptCount val="2"/>
              <c:pt idx="0">
                <c:v>1.9E-2</c:v>
              </c:pt>
              <c:pt idx="1">
                <c:v>1.9E-2</c:v>
              </c:pt>
            </c:numLit>
          </c:yVal>
          <c:smooth val="0"/>
          <c:extLst>
            <c:ext xmlns:c16="http://schemas.microsoft.com/office/drawing/2014/chart" uri="{C3380CC4-5D6E-409C-BE32-E72D297353CC}">
              <c16:uniqueId val="{00000074-844E-4682-A2A9-16C8DE91A3A0}"/>
            </c:ext>
          </c:extLst>
        </c:ser>
        <c:ser>
          <c:idx val="97"/>
          <c:order val="97"/>
          <c:tx>
            <c:v>x=0.0192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1.9200000000000002E-2</c:v>
              </c:pt>
              <c:pt idx="1">
                <c:v>1.9200000000000002E-2</c:v>
              </c:pt>
            </c:numLit>
          </c:yVal>
          <c:smooth val="0"/>
          <c:extLst>
            <c:ext xmlns:c16="http://schemas.microsoft.com/office/drawing/2014/chart" uri="{C3380CC4-5D6E-409C-BE32-E72D297353CC}">
              <c16:uniqueId val="{00000075-844E-4682-A2A9-16C8DE91A3A0}"/>
            </c:ext>
          </c:extLst>
        </c:ser>
        <c:ser>
          <c:idx val="98"/>
          <c:order val="98"/>
          <c:tx>
            <c:v>x=0.0194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1.9400000000000001E-2</c:v>
              </c:pt>
              <c:pt idx="1">
                <c:v>1.9400000000000001E-2</c:v>
              </c:pt>
            </c:numLit>
          </c:yVal>
          <c:smooth val="0"/>
          <c:extLst>
            <c:ext xmlns:c16="http://schemas.microsoft.com/office/drawing/2014/chart" uri="{C3380CC4-5D6E-409C-BE32-E72D297353CC}">
              <c16:uniqueId val="{00000076-844E-4682-A2A9-16C8DE91A3A0}"/>
            </c:ext>
          </c:extLst>
        </c:ser>
        <c:ser>
          <c:idx val="99"/>
          <c:order val="99"/>
          <c:tx>
            <c:v>x=0.0196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1.9599999999999999E-2</c:v>
              </c:pt>
              <c:pt idx="1">
                <c:v>1.9599999999999999E-2</c:v>
              </c:pt>
            </c:numLit>
          </c:yVal>
          <c:smooth val="0"/>
          <c:extLst>
            <c:ext xmlns:c16="http://schemas.microsoft.com/office/drawing/2014/chart" uri="{C3380CC4-5D6E-409C-BE32-E72D297353CC}">
              <c16:uniqueId val="{00000077-844E-4682-A2A9-16C8DE91A3A0}"/>
            </c:ext>
          </c:extLst>
        </c:ser>
        <c:ser>
          <c:idx val="100"/>
          <c:order val="100"/>
          <c:tx>
            <c:v>x=0.0198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1.9800000000000002E-2</c:v>
              </c:pt>
              <c:pt idx="1">
                <c:v>1.9800000000000002E-2</c:v>
              </c:pt>
            </c:numLit>
          </c:yVal>
          <c:smooth val="0"/>
          <c:extLst>
            <c:ext xmlns:c16="http://schemas.microsoft.com/office/drawing/2014/chart" uri="{C3380CC4-5D6E-409C-BE32-E72D297353CC}">
              <c16:uniqueId val="{00000078-844E-4682-A2A9-16C8DE91A3A0}"/>
            </c:ext>
          </c:extLst>
        </c:ser>
        <c:ser>
          <c:idx val="101"/>
          <c:order val="101"/>
          <c:tx>
            <c:v>x=0.02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23.338719681908547</c:v>
              </c:pt>
              <c:pt idx="1">
                <c:v>66.8</c:v>
              </c:pt>
            </c:numLit>
          </c:xVal>
          <c:yVal>
            <c:numLit>
              <c:formatCode>General</c:formatCode>
              <c:ptCount val="2"/>
              <c:pt idx="0">
                <c:v>0.02</c:v>
              </c:pt>
              <c:pt idx="1">
                <c:v>0.02</c:v>
              </c:pt>
            </c:numLit>
          </c:yVal>
          <c:smooth val="0"/>
          <c:extLst>
            <c:ext xmlns:c16="http://schemas.microsoft.com/office/drawing/2014/chart" uri="{C3380CC4-5D6E-409C-BE32-E72D297353CC}">
              <c16:uniqueId val="{0000007A-844E-4682-A2A9-16C8DE91A3A0}"/>
            </c:ext>
          </c:extLst>
        </c:ser>
        <c:ser>
          <c:idx val="102"/>
          <c:order val="102"/>
          <c:tx>
            <c:v>x=0.0202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2.0200000000000003E-2</c:v>
              </c:pt>
              <c:pt idx="1">
                <c:v>2.0200000000000003E-2</c:v>
              </c:pt>
            </c:numLit>
          </c:yVal>
          <c:smooth val="0"/>
          <c:extLst>
            <c:ext xmlns:c16="http://schemas.microsoft.com/office/drawing/2014/chart" uri="{C3380CC4-5D6E-409C-BE32-E72D297353CC}">
              <c16:uniqueId val="{0000007B-844E-4682-A2A9-16C8DE91A3A0}"/>
            </c:ext>
          </c:extLst>
        </c:ser>
        <c:ser>
          <c:idx val="103"/>
          <c:order val="103"/>
          <c:tx>
            <c:v>x=0.0204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2.0400000000000001E-2</c:v>
              </c:pt>
              <c:pt idx="1">
                <c:v>2.0400000000000001E-2</c:v>
              </c:pt>
            </c:numLit>
          </c:yVal>
          <c:smooth val="0"/>
          <c:extLst>
            <c:ext xmlns:c16="http://schemas.microsoft.com/office/drawing/2014/chart" uri="{C3380CC4-5D6E-409C-BE32-E72D297353CC}">
              <c16:uniqueId val="{0000007C-844E-4682-A2A9-16C8DE91A3A0}"/>
            </c:ext>
          </c:extLst>
        </c:ser>
        <c:ser>
          <c:idx val="104"/>
          <c:order val="104"/>
          <c:tx>
            <c:v>x=0.0206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2.06E-2</c:v>
              </c:pt>
              <c:pt idx="1">
                <c:v>2.06E-2</c:v>
              </c:pt>
            </c:numLit>
          </c:yVal>
          <c:smooth val="0"/>
          <c:extLst>
            <c:ext xmlns:c16="http://schemas.microsoft.com/office/drawing/2014/chart" uri="{C3380CC4-5D6E-409C-BE32-E72D297353CC}">
              <c16:uniqueId val="{0000007D-844E-4682-A2A9-16C8DE91A3A0}"/>
            </c:ext>
          </c:extLst>
        </c:ser>
        <c:ser>
          <c:idx val="105"/>
          <c:order val="105"/>
          <c:tx>
            <c:v>x=0.0208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2.0800000000000003E-2</c:v>
              </c:pt>
              <c:pt idx="1">
                <c:v>2.0800000000000003E-2</c:v>
              </c:pt>
            </c:numLit>
          </c:yVal>
          <c:smooth val="0"/>
          <c:extLst>
            <c:ext xmlns:c16="http://schemas.microsoft.com/office/drawing/2014/chart" uri="{C3380CC4-5D6E-409C-BE32-E72D297353CC}">
              <c16:uniqueId val="{0000007E-844E-4682-A2A9-16C8DE91A3A0}"/>
            </c:ext>
          </c:extLst>
        </c:ser>
        <c:ser>
          <c:idx val="106"/>
          <c:order val="106"/>
          <c:tx>
            <c:v>x=0.021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F-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24.093717296222664</c:v>
              </c:pt>
              <c:pt idx="1">
                <c:v>66.8</c:v>
              </c:pt>
            </c:numLit>
          </c:xVal>
          <c:yVal>
            <c:numLit>
              <c:formatCode>General</c:formatCode>
              <c:ptCount val="2"/>
              <c:pt idx="0">
                <c:v>2.1000000000000001E-2</c:v>
              </c:pt>
              <c:pt idx="1">
                <c:v>2.1000000000000001E-2</c:v>
              </c:pt>
            </c:numLit>
          </c:yVal>
          <c:smooth val="0"/>
          <c:extLst>
            <c:ext xmlns:c16="http://schemas.microsoft.com/office/drawing/2014/chart" uri="{C3380CC4-5D6E-409C-BE32-E72D297353CC}">
              <c16:uniqueId val="{00000080-844E-4682-A2A9-16C8DE91A3A0}"/>
            </c:ext>
          </c:extLst>
        </c:ser>
        <c:ser>
          <c:idx val="107"/>
          <c:order val="107"/>
          <c:tx>
            <c:v>x=0.0212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2.12E-2</c:v>
              </c:pt>
              <c:pt idx="1">
                <c:v>2.12E-2</c:v>
              </c:pt>
            </c:numLit>
          </c:yVal>
          <c:smooth val="0"/>
          <c:extLst>
            <c:ext xmlns:c16="http://schemas.microsoft.com/office/drawing/2014/chart" uri="{C3380CC4-5D6E-409C-BE32-E72D297353CC}">
              <c16:uniqueId val="{00000081-844E-4682-A2A9-16C8DE91A3A0}"/>
            </c:ext>
          </c:extLst>
        </c:ser>
        <c:ser>
          <c:idx val="108"/>
          <c:order val="108"/>
          <c:tx>
            <c:v>x=0.0214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2.1400000000000002E-2</c:v>
              </c:pt>
              <c:pt idx="1">
                <c:v>2.1400000000000002E-2</c:v>
              </c:pt>
            </c:numLit>
          </c:yVal>
          <c:smooth val="0"/>
          <c:extLst>
            <c:ext xmlns:c16="http://schemas.microsoft.com/office/drawing/2014/chart" uri="{C3380CC4-5D6E-409C-BE32-E72D297353CC}">
              <c16:uniqueId val="{00000082-844E-4682-A2A9-16C8DE91A3A0}"/>
            </c:ext>
          </c:extLst>
        </c:ser>
        <c:ser>
          <c:idx val="109"/>
          <c:order val="109"/>
          <c:tx>
            <c:v>x=0.0216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2.1600000000000001E-2</c:v>
              </c:pt>
              <c:pt idx="1">
                <c:v>2.1600000000000001E-2</c:v>
              </c:pt>
            </c:numLit>
          </c:yVal>
          <c:smooth val="0"/>
          <c:extLst>
            <c:ext xmlns:c16="http://schemas.microsoft.com/office/drawing/2014/chart" uri="{C3380CC4-5D6E-409C-BE32-E72D297353CC}">
              <c16:uniqueId val="{00000083-844E-4682-A2A9-16C8DE91A3A0}"/>
            </c:ext>
          </c:extLst>
        </c:ser>
        <c:ser>
          <c:idx val="110"/>
          <c:order val="110"/>
          <c:tx>
            <c:v>x=0.0218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2.18E-2</c:v>
              </c:pt>
              <c:pt idx="1">
                <c:v>2.18E-2</c:v>
              </c:pt>
            </c:numLit>
          </c:yVal>
          <c:smooth val="0"/>
          <c:extLst>
            <c:ext xmlns:c16="http://schemas.microsoft.com/office/drawing/2014/chart" uri="{C3380CC4-5D6E-409C-BE32-E72D297353CC}">
              <c16:uniqueId val="{00000084-844E-4682-A2A9-16C8DE91A3A0}"/>
            </c:ext>
          </c:extLst>
        </c:ser>
        <c:ser>
          <c:idx val="111"/>
          <c:order val="111"/>
          <c:tx>
            <c:v>x=0.022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24.810046123260438</c:v>
              </c:pt>
              <c:pt idx="1">
                <c:v>66.8</c:v>
              </c:pt>
            </c:numLit>
          </c:xVal>
          <c:yVal>
            <c:numLit>
              <c:formatCode>General</c:formatCode>
              <c:ptCount val="2"/>
              <c:pt idx="0">
                <c:v>2.2000000000000002E-2</c:v>
              </c:pt>
              <c:pt idx="1">
                <c:v>2.2000000000000002E-2</c:v>
              </c:pt>
            </c:numLit>
          </c:yVal>
          <c:smooth val="0"/>
          <c:extLst>
            <c:ext xmlns:c16="http://schemas.microsoft.com/office/drawing/2014/chart" uri="{C3380CC4-5D6E-409C-BE32-E72D297353CC}">
              <c16:uniqueId val="{00000086-844E-4682-A2A9-16C8DE91A3A0}"/>
            </c:ext>
          </c:extLst>
        </c:ser>
        <c:ser>
          <c:idx val="112"/>
          <c:order val="112"/>
          <c:tx>
            <c:v>x=0.0222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2.2200000000000001E-2</c:v>
              </c:pt>
              <c:pt idx="1">
                <c:v>2.2200000000000001E-2</c:v>
              </c:pt>
            </c:numLit>
          </c:yVal>
          <c:smooth val="0"/>
          <c:extLst>
            <c:ext xmlns:c16="http://schemas.microsoft.com/office/drawing/2014/chart" uri="{C3380CC4-5D6E-409C-BE32-E72D297353CC}">
              <c16:uniqueId val="{00000087-844E-4682-A2A9-16C8DE91A3A0}"/>
            </c:ext>
          </c:extLst>
        </c:ser>
        <c:ser>
          <c:idx val="113"/>
          <c:order val="113"/>
          <c:tx>
            <c:v>x=0.0224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2.24E-2</c:v>
              </c:pt>
              <c:pt idx="1">
                <c:v>2.24E-2</c:v>
              </c:pt>
            </c:numLit>
          </c:yVal>
          <c:smooth val="0"/>
          <c:extLst>
            <c:ext xmlns:c16="http://schemas.microsoft.com/office/drawing/2014/chart" uri="{C3380CC4-5D6E-409C-BE32-E72D297353CC}">
              <c16:uniqueId val="{00000088-844E-4682-A2A9-16C8DE91A3A0}"/>
            </c:ext>
          </c:extLst>
        </c:ser>
        <c:ser>
          <c:idx val="114"/>
          <c:order val="114"/>
          <c:tx>
            <c:v>x=0.0226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2.2600000000000002E-2</c:v>
              </c:pt>
              <c:pt idx="1">
                <c:v>2.2600000000000002E-2</c:v>
              </c:pt>
            </c:numLit>
          </c:yVal>
          <c:smooth val="0"/>
          <c:extLst>
            <c:ext xmlns:c16="http://schemas.microsoft.com/office/drawing/2014/chart" uri="{C3380CC4-5D6E-409C-BE32-E72D297353CC}">
              <c16:uniqueId val="{00000089-844E-4682-A2A9-16C8DE91A3A0}"/>
            </c:ext>
          </c:extLst>
        </c:ser>
        <c:ser>
          <c:idx val="115"/>
          <c:order val="115"/>
          <c:tx>
            <c:v>x=0.0228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2.2800000000000001E-2</c:v>
              </c:pt>
              <c:pt idx="1">
                <c:v>2.2800000000000001E-2</c:v>
              </c:pt>
            </c:numLit>
          </c:yVal>
          <c:smooth val="0"/>
          <c:extLst>
            <c:ext xmlns:c16="http://schemas.microsoft.com/office/drawing/2014/chart" uri="{C3380CC4-5D6E-409C-BE32-E72D297353CC}">
              <c16:uniqueId val="{0000008A-844E-4682-A2A9-16C8DE91A3A0}"/>
            </c:ext>
          </c:extLst>
        </c:ser>
        <c:ser>
          <c:idx val="116"/>
          <c:order val="116"/>
          <c:tx>
            <c:v>x=0.023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B-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25.497909542743535</c:v>
              </c:pt>
              <c:pt idx="1">
                <c:v>66.8</c:v>
              </c:pt>
            </c:numLit>
          </c:xVal>
          <c:yVal>
            <c:numLit>
              <c:formatCode>General</c:formatCode>
              <c:ptCount val="2"/>
              <c:pt idx="0">
                <c:v>2.3E-2</c:v>
              </c:pt>
              <c:pt idx="1">
                <c:v>2.3E-2</c:v>
              </c:pt>
            </c:numLit>
          </c:yVal>
          <c:smooth val="0"/>
          <c:extLst>
            <c:ext xmlns:c16="http://schemas.microsoft.com/office/drawing/2014/chart" uri="{C3380CC4-5D6E-409C-BE32-E72D297353CC}">
              <c16:uniqueId val="{0000008C-844E-4682-A2A9-16C8DE91A3A0}"/>
            </c:ext>
          </c:extLst>
        </c:ser>
        <c:ser>
          <c:idx val="117"/>
          <c:order val="117"/>
          <c:tx>
            <c:v>x=0.0232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2.3200000000000002E-2</c:v>
              </c:pt>
              <c:pt idx="1">
                <c:v>2.3200000000000002E-2</c:v>
              </c:pt>
            </c:numLit>
          </c:yVal>
          <c:smooth val="0"/>
          <c:extLst>
            <c:ext xmlns:c16="http://schemas.microsoft.com/office/drawing/2014/chart" uri="{C3380CC4-5D6E-409C-BE32-E72D297353CC}">
              <c16:uniqueId val="{0000008D-844E-4682-A2A9-16C8DE91A3A0}"/>
            </c:ext>
          </c:extLst>
        </c:ser>
        <c:ser>
          <c:idx val="118"/>
          <c:order val="118"/>
          <c:tx>
            <c:v>x=0.0234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2.3400000000000001E-2</c:v>
              </c:pt>
              <c:pt idx="1">
                <c:v>2.3400000000000001E-2</c:v>
              </c:pt>
            </c:numLit>
          </c:yVal>
          <c:smooth val="0"/>
          <c:extLst>
            <c:ext xmlns:c16="http://schemas.microsoft.com/office/drawing/2014/chart" uri="{C3380CC4-5D6E-409C-BE32-E72D297353CC}">
              <c16:uniqueId val="{0000008E-844E-4682-A2A9-16C8DE91A3A0}"/>
            </c:ext>
          </c:extLst>
        </c:ser>
        <c:ser>
          <c:idx val="119"/>
          <c:order val="119"/>
          <c:tx>
            <c:v>x=0.0236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2.3599999999999999E-2</c:v>
              </c:pt>
              <c:pt idx="1">
                <c:v>2.3599999999999999E-2</c:v>
              </c:pt>
            </c:numLit>
          </c:yVal>
          <c:smooth val="0"/>
          <c:extLst>
            <c:ext xmlns:c16="http://schemas.microsoft.com/office/drawing/2014/chart" uri="{C3380CC4-5D6E-409C-BE32-E72D297353CC}">
              <c16:uniqueId val="{0000008F-844E-4682-A2A9-16C8DE91A3A0}"/>
            </c:ext>
          </c:extLst>
        </c:ser>
        <c:ser>
          <c:idx val="120"/>
          <c:order val="120"/>
          <c:tx>
            <c:v>x=0.0238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2.3800000000000002E-2</c:v>
              </c:pt>
              <c:pt idx="1">
                <c:v>2.3800000000000002E-2</c:v>
              </c:pt>
            </c:numLit>
          </c:yVal>
          <c:smooth val="0"/>
          <c:extLst>
            <c:ext xmlns:c16="http://schemas.microsoft.com/office/drawing/2014/chart" uri="{C3380CC4-5D6E-409C-BE32-E72D297353CC}">
              <c16:uniqueId val="{00000090-844E-4682-A2A9-16C8DE91A3A0}"/>
            </c:ext>
          </c:extLst>
        </c:ser>
        <c:ser>
          <c:idx val="121"/>
          <c:order val="121"/>
          <c:tx>
            <c:v>x=0.024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26.157141153081511</c:v>
              </c:pt>
              <c:pt idx="1">
                <c:v>66.8</c:v>
              </c:pt>
            </c:numLit>
          </c:xVal>
          <c:yVal>
            <c:numLit>
              <c:formatCode>General</c:formatCode>
              <c:ptCount val="2"/>
              <c:pt idx="0">
                <c:v>2.4E-2</c:v>
              </c:pt>
              <c:pt idx="1">
                <c:v>2.4E-2</c:v>
              </c:pt>
            </c:numLit>
          </c:yVal>
          <c:smooth val="0"/>
          <c:extLst>
            <c:ext xmlns:c16="http://schemas.microsoft.com/office/drawing/2014/chart" uri="{C3380CC4-5D6E-409C-BE32-E72D297353CC}">
              <c16:uniqueId val="{00000092-844E-4682-A2A9-16C8DE91A3A0}"/>
            </c:ext>
          </c:extLst>
        </c:ser>
        <c:ser>
          <c:idx val="122"/>
          <c:order val="122"/>
          <c:tx>
            <c:v>x=0.0242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2.4200000000000003E-2</c:v>
              </c:pt>
              <c:pt idx="1">
                <c:v>2.4200000000000003E-2</c:v>
              </c:pt>
            </c:numLit>
          </c:yVal>
          <c:smooth val="0"/>
          <c:extLst>
            <c:ext xmlns:c16="http://schemas.microsoft.com/office/drawing/2014/chart" uri="{C3380CC4-5D6E-409C-BE32-E72D297353CC}">
              <c16:uniqueId val="{00000093-844E-4682-A2A9-16C8DE91A3A0}"/>
            </c:ext>
          </c:extLst>
        </c:ser>
        <c:ser>
          <c:idx val="123"/>
          <c:order val="123"/>
          <c:tx>
            <c:v>x=0.0244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2.4400000000000002E-2</c:v>
              </c:pt>
              <c:pt idx="1">
                <c:v>2.4400000000000002E-2</c:v>
              </c:pt>
            </c:numLit>
          </c:yVal>
          <c:smooth val="0"/>
          <c:extLst>
            <c:ext xmlns:c16="http://schemas.microsoft.com/office/drawing/2014/chart" uri="{C3380CC4-5D6E-409C-BE32-E72D297353CC}">
              <c16:uniqueId val="{00000094-844E-4682-A2A9-16C8DE91A3A0}"/>
            </c:ext>
          </c:extLst>
        </c:ser>
        <c:ser>
          <c:idx val="124"/>
          <c:order val="124"/>
          <c:tx>
            <c:v>x=0.0246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2.46E-2</c:v>
              </c:pt>
              <c:pt idx="1">
                <c:v>2.46E-2</c:v>
              </c:pt>
            </c:numLit>
          </c:yVal>
          <c:smooth val="0"/>
          <c:extLst>
            <c:ext xmlns:c16="http://schemas.microsoft.com/office/drawing/2014/chart" uri="{C3380CC4-5D6E-409C-BE32-E72D297353CC}">
              <c16:uniqueId val="{00000095-844E-4682-A2A9-16C8DE91A3A0}"/>
            </c:ext>
          </c:extLst>
        </c:ser>
        <c:ser>
          <c:idx val="125"/>
          <c:order val="125"/>
          <c:tx>
            <c:v>x=0.0248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2.4800000000000003E-2</c:v>
              </c:pt>
              <c:pt idx="1">
                <c:v>2.4800000000000003E-2</c:v>
              </c:pt>
            </c:numLit>
          </c:yVal>
          <c:smooth val="0"/>
          <c:extLst>
            <c:ext xmlns:c16="http://schemas.microsoft.com/office/drawing/2014/chart" uri="{C3380CC4-5D6E-409C-BE32-E72D297353CC}">
              <c16:uniqueId val="{00000096-844E-4682-A2A9-16C8DE91A3A0}"/>
            </c:ext>
          </c:extLst>
        </c:ser>
        <c:ser>
          <c:idx val="126"/>
          <c:order val="126"/>
          <c:tx>
            <c:v>x=0.025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26.787574552683896</c:v>
              </c:pt>
              <c:pt idx="1">
                <c:v>66.8</c:v>
              </c:pt>
            </c:numLit>
          </c:xVal>
          <c:yVal>
            <c:numLit>
              <c:formatCode>General</c:formatCode>
              <c:ptCount val="2"/>
              <c:pt idx="0">
                <c:v>2.5000000000000001E-2</c:v>
              </c:pt>
              <c:pt idx="1">
                <c:v>2.5000000000000001E-2</c:v>
              </c:pt>
            </c:numLit>
          </c:yVal>
          <c:smooth val="0"/>
          <c:extLst>
            <c:ext xmlns:c16="http://schemas.microsoft.com/office/drawing/2014/chart" uri="{C3380CC4-5D6E-409C-BE32-E72D297353CC}">
              <c16:uniqueId val="{00000098-844E-4682-A2A9-16C8DE91A3A0}"/>
            </c:ext>
          </c:extLst>
        </c:ser>
        <c:ser>
          <c:idx val="127"/>
          <c:order val="127"/>
          <c:tx>
            <c:v>x=0.0252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2.52E-2</c:v>
              </c:pt>
              <c:pt idx="1">
                <c:v>2.52E-2</c:v>
              </c:pt>
            </c:numLit>
          </c:yVal>
          <c:smooth val="0"/>
          <c:extLst>
            <c:ext xmlns:c16="http://schemas.microsoft.com/office/drawing/2014/chart" uri="{C3380CC4-5D6E-409C-BE32-E72D297353CC}">
              <c16:uniqueId val="{00000099-844E-4682-A2A9-16C8DE91A3A0}"/>
            </c:ext>
          </c:extLst>
        </c:ser>
        <c:ser>
          <c:idx val="128"/>
          <c:order val="128"/>
          <c:tx>
            <c:v>x=0.0254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2.5400000000000002E-2</c:v>
              </c:pt>
              <c:pt idx="1">
                <c:v>2.5400000000000002E-2</c:v>
              </c:pt>
            </c:numLit>
          </c:yVal>
          <c:smooth val="0"/>
          <c:extLst>
            <c:ext xmlns:c16="http://schemas.microsoft.com/office/drawing/2014/chart" uri="{C3380CC4-5D6E-409C-BE32-E72D297353CC}">
              <c16:uniqueId val="{0000009A-844E-4682-A2A9-16C8DE91A3A0}"/>
            </c:ext>
          </c:extLst>
        </c:ser>
        <c:ser>
          <c:idx val="129"/>
          <c:order val="129"/>
          <c:tx>
            <c:v>x=0.0256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2.5600000000000001E-2</c:v>
              </c:pt>
              <c:pt idx="1">
                <c:v>2.5600000000000001E-2</c:v>
              </c:pt>
            </c:numLit>
          </c:yVal>
          <c:smooth val="0"/>
          <c:extLst>
            <c:ext xmlns:c16="http://schemas.microsoft.com/office/drawing/2014/chart" uri="{C3380CC4-5D6E-409C-BE32-E72D297353CC}">
              <c16:uniqueId val="{0000009B-844E-4682-A2A9-16C8DE91A3A0}"/>
            </c:ext>
          </c:extLst>
        </c:ser>
        <c:ser>
          <c:idx val="130"/>
          <c:order val="130"/>
          <c:tx>
            <c:v>x=0.0258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2.58E-2</c:v>
              </c:pt>
              <c:pt idx="1">
                <c:v>2.58E-2</c:v>
              </c:pt>
            </c:numLit>
          </c:yVal>
          <c:smooth val="0"/>
          <c:extLst>
            <c:ext xmlns:c16="http://schemas.microsoft.com/office/drawing/2014/chart" uri="{C3380CC4-5D6E-409C-BE32-E72D297353CC}">
              <c16:uniqueId val="{0000009C-844E-4682-A2A9-16C8DE91A3A0}"/>
            </c:ext>
          </c:extLst>
        </c:ser>
        <c:ser>
          <c:idx val="131"/>
          <c:order val="131"/>
          <c:tx>
            <c:v>x=0.026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27.399524055666006</c:v>
              </c:pt>
              <c:pt idx="1">
                <c:v>66.8</c:v>
              </c:pt>
            </c:numLit>
          </c:xVal>
          <c:yVal>
            <c:numLit>
              <c:formatCode>General</c:formatCode>
              <c:ptCount val="2"/>
              <c:pt idx="0">
                <c:v>2.6000000000000002E-2</c:v>
              </c:pt>
              <c:pt idx="1">
                <c:v>2.6000000000000002E-2</c:v>
              </c:pt>
            </c:numLit>
          </c:yVal>
          <c:smooth val="0"/>
          <c:extLst>
            <c:ext xmlns:c16="http://schemas.microsoft.com/office/drawing/2014/chart" uri="{C3380CC4-5D6E-409C-BE32-E72D297353CC}">
              <c16:uniqueId val="{0000009E-844E-4682-A2A9-16C8DE91A3A0}"/>
            </c:ext>
          </c:extLst>
        </c:ser>
        <c:ser>
          <c:idx val="132"/>
          <c:order val="132"/>
          <c:tx>
            <c:v>x=0.0262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2.6200000000000001E-2</c:v>
              </c:pt>
              <c:pt idx="1">
                <c:v>2.6200000000000001E-2</c:v>
              </c:pt>
            </c:numLit>
          </c:yVal>
          <c:smooth val="0"/>
          <c:extLst>
            <c:ext xmlns:c16="http://schemas.microsoft.com/office/drawing/2014/chart" uri="{C3380CC4-5D6E-409C-BE32-E72D297353CC}">
              <c16:uniqueId val="{0000009F-844E-4682-A2A9-16C8DE91A3A0}"/>
            </c:ext>
          </c:extLst>
        </c:ser>
        <c:ser>
          <c:idx val="133"/>
          <c:order val="133"/>
          <c:tx>
            <c:v>x=0.0264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2.64E-2</c:v>
              </c:pt>
              <c:pt idx="1">
                <c:v>2.64E-2</c:v>
              </c:pt>
            </c:numLit>
          </c:yVal>
          <c:smooth val="0"/>
          <c:extLst>
            <c:ext xmlns:c16="http://schemas.microsoft.com/office/drawing/2014/chart" uri="{C3380CC4-5D6E-409C-BE32-E72D297353CC}">
              <c16:uniqueId val="{000000A0-844E-4682-A2A9-16C8DE91A3A0}"/>
            </c:ext>
          </c:extLst>
        </c:ser>
        <c:ser>
          <c:idx val="134"/>
          <c:order val="134"/>
          <c:tx>
            <c:v>x=0.0266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2.6600000000000002E-2</c:v>
              </c:pt>
              <c:pt idx="1">
                <c:v>2.6600000000000002E-2</c:v>
              </c:pt>
            </c:numLit>
          </c:yVal>
          <c:smooth val="0"/>
          <c:extLst>
            <c:ext xmlns:c16="http://schemas.microsoft.com/office/drawing/2014/chart" uri="{C3380CC4-5D6E-409C-BE32-E72D297353CC}">
              <c16:uniqueId val="{000000A1-844E-4682-A2A9-16C8DE91A3A0}"/>
            </c:ext>
          </c:extLst>
        </c:ser>
        <c:ser>
          <c:idx val="135"/>
          <c:order val="135"/>
          <c:tx>
            <c:v>x=0.0268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2.6800000000000001E-2</c:v>
              </c:pt>
              <c:pt idx="1">
                <c:v>2.6800000000000001E-2</c:v>
              </c:pt>
            </c:numLit>
          </c:yVal>
          <c:smooth val="0"/>
          <c:extLst>
            <c:ext xmlns:c16="http://schemas.microsoft.com/office/drawing/2014/chart" uri="{C3380CC4-5D6E-409C-BE32-E72D297353CC}">
              <c16:uniqueId val="{000000A2-844E-4682-A2A9-16C8DE91A3A0}"/>
            </c:ext>
          </c:extLst>
        </c:ser>
        <c:ser>
          <c:idx val="136"/>
          <c:order val="136"/>
          <c:tx>
            <c:v>x=0.027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3-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27.992878727634199</c:v>
              </c:pt>
              <c:pt idx="1">
                <c:v>66.8</c:v>
              </c:pt>
            </c:numLit>
          </c:xVal>
          <c:yVal>
            <c:numLit>
              <c:formatCode>General</c:formatCode>
              <c:ptCount val="2"/>
              <c:pt idx="0">
                <c:v>2.7E-2</c:v>
              </c:pt>
              <c:pt idx="1">
                <c:v>2.7E-2</c:v>
              </c:pt>
            </c:numLit>
          </c:yVal>
          <c:smooth val="0"/>
          <c:extLst>
            <c:ext xmlns:c16="http://schemas.microsoft.com/office/drawing/2014/chart" uri="{C3380CC4-5D6E-409C-BE32-E72D297353CC}">
              <c16:uniqueId val="{000000A4-844E-4682-A2A9-16C8DE91A3A0}"/>
            </c:ext>
          </c:extLst>
        </c:ser>
        <c:ser>
          <c:idx val="137"/>
          <c:order val="137"/>
          <c:tx>
            <c:v>x=0.0272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2.7200000000000002E-2</c:v>
              </c:pt>
              <c:pt idx="1">
                <c:v>2.7200000000000002E-2</c:v>
              </c:pt>
            </c:numLit>
          </c:yVal>
          <c:smooth val="0"/>
          <c:extLst>
            <c:ext xmlns:c16="http://schemas.microsoft.com/office/drawing/2014/chart" uri="{C3380CC4-5D6E-409C-BE32-E72D297353CC}">
              <c16:uniqueId val="{000000A5-844E-4682-A2A9-16C8DE91A3A0}"/>
            </c:ext>
          </c:extLst>
        </c:ser>
        <c:ser>
          <c:idx val="138"/>
          <c:order val="138"/>
          <c:tx>
            <c:v>x=0.0274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2.7400000000000001E-2</c:v>
              </c:pt>
              <c:pt idx="1">
                <c:v>2.7400000000000001E-2</c:v>
              </c:pt>
            </c:numLit>
          </c:yVal>
          <c:smooth val="0"/>
          <c:extLst>
            <c:ext xmlns:c16="http://schemas.microsoft.com/office/drawing/2014/chart" uri="{C3380CC4-5D6E-409C-BE32-E72D297353CC}">
              <c16:uniqueId val="{000000A6-844E-4682-A2A9-16C8DE91A3A0}"/>
            </c:ext>
          </c:extLst>
        </c:ser>
        <c:ser>
          <c:idx val="139"/>
          <c:order val="139"/>
          <c:tx>
            <c:v>x=0.0276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2.7600000000000003E-2</c:v>
              </c:pt>
              <c:pt idx="1">
                <c:v>2.7600000000000003E-2</c:v>
              </c:pt>
            </c:numLit>
          </c:yVal>
          <c:smooth val="0"/>
          <c:extLst>
            <c:ext xmlns:c16="http://schemas.microsoft.com/office/drawing/2014/chart" uri="{C3380CC4-5D6E-409C-BE32-E72D297353CC}">
              <c16:uniqueId val="{000000A7-844E-4682-A2A9-16C8DE91A3A0}"/>
            </c:ext>
          </c:extLst>
        </c:ser>
        <c:ser>
          <c:idx val="140"/>
          <c:order val="140"/>
          <c:tx>
            <c:v>x=0.0278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2.7800000000000002E-2</c:v>
              </c:pt>
              <c:pt idx="1">
                <c:v>2.7800000000000002E-2</c:v>
              </c:pt>
            </c:numLit>
          </c:yVal>
          <c:smooth val="0"/>
          <c:extLst>
            <c:ext xmlns:c16="http://schemas.microsoft.com/office/drawing/2014/chart" uri="{C3380CC4-5D6E-409C-BE32-E72D297353CC}">
              <c16:uniqueId val="{000000A8-844E-4682-A2A9-16C8DE91A3A0}"/>
            </c:ext>
          </c:extLst>
        </c:ser>
        <c:ser>
          <c:idx val="141"/>
          <c:order val="141"/>
          <c:tx>
            <c:v>x=0.028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9-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28.557009940357855</c:v>
              </c:pt>
              <c:pt idx="1">
                <c:v>66.8</c:v>
              </c:pt>
            </c:numLit>
          </c:xVal>
          <c:yVal>
            <c:numLit>
              <c:formatCode>General</c:formatCode>
              <c:ptCount val="2"/>
              <c:pt idx="0">
                <c:v>2.8000000000000001E-2</c:v>
              </c:pt>
              <c:pt idx="1">
                <c:v>2.8000000000000001E-2</c:v>
              </c:pt>
            </c:numLit>
          </c:yVal>
          <c:smooth val="0"/>
          <c:extLst>
            <c:ext xmlns:c16="http://schemas.microsoft.com/office/drawing/2014/chart" uri="{C3380CC4-5D6E-409C-BE32-E72D297353CC}">
              <c16:uniqueId val="{000000AA-844E-4682-A2A9-16C8DE91A3A0}"/>
            </c:ext>
          </c:extLst>
        </c:ser>
        <c:ser>
          <c:idx val="142"/>
          <c:order val="142"/>
          <c:tx>
            <c:v>x=0.0282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2.8200000000000003E-2</c:v>
              </c:pt>
              <c:pt idx="1">
                <c:v>2.8200000000000003E-2</c:v>
              </c:pt>
            </c:numLit>
          </c:yVal>
          <c:smooth val="0"/>
          <c:extLst>
            <c:ext xmlns:c16="http://schemas.microsoft.com/office/drawing/2014/chart" uri="{C3380CC4-5D6E-409C-BE32-E72D297353CC}">
              <c16:uniqueId val="{000000AB-844E-4682-A2A9-16C8DE91A3A0}"/>
            </c:ext>
          </c:extLst>
        </c:ser>
        <c:ser>
          <c:idx val="143"/>
          <c:order val="143"/>
          <c:tx>
            <c:v>x=0.0284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2.8400000000000002E-2</c:v>
              </c:pt>
              <c:pt idx="1">
                <c:v>2.8400000000000002E-2</c:v>
              </c:pt>
            </c:numLit>
          </c:yVal>
          <c:smooth val="0"/>
          <c:extLst>
            <c:ext xmlns:c16="http://schemas.microsoft.com/office/drawing/2014/chart" uri="{C3380CC4-5D6E-409C-BE32-E72D297353CC}">
              <c16:uniqueId val="{000000AC-844E-4682-A2A9-16C8DE91A3A0}"/>
            </c:ext>
          </c:extLst>
        </c:ser>
        <c:ser>
          <c:idx val="144"/>
          <c:order val="144"/>
          <c:tx>
            <c:v>x=0.0286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2.86E-2</c:v>
              </c:pt>
              <c:pt idx="1">
                <c:v>2.86E-2</c:v>
              </c:pt>
            </c:numLit>
          </c:yVal>
          <c:smooth val="0"/>
          <c:extLst>
            <c:ext xmlns:c16="http://schemas.microsoft.com/office/drawing/2014/chart" uri="{C3380CC4-5D6E-409C-BE32-E72D297353CC}">
              <c16:uniqueId val="{000000AD-844E-4682-A2A9-16C8DE91A3A0}"/>
            </c:ext>
          </c:extLst>
        </c:ser>
        <c:ser>
          <c:idx val="145"/>
          <c:order val="145"/>
          <c:tx>
            <c:v>x=0.0288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2.8800000000000003E-2</c:v>
              </c:pt>
              <c:pt idx="1">
                <c:v>2.8800000000000003E-2</c:v>
              </c:pt>
            </c:numLit>
          </c:yVal>
          <c:smooth val="0"/>
          <c:extLst>
            <c:ext xmlns:c16="http://schemas.microsoft.com/office/drawing/2014/chart" uri="{C3380CC4-5D6E-409C-BE32-E72D297353CC}">
              <c16:uniqueId val="{000000AE-844E-4682-A2A9-16C8DE91A3A0}"/>
            </c:ext>
          </c:extLst>
        </c:ser>
        <c:ser>
          <c:idx val="146"/>
          <c:order val="146"/>
          <c:tx>
            <c:v>x=0.029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F-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29.112823658051692</c:v>
              </c:pt>
              <c:pt idx="1">
                <c:v>66.8</c:v>
              </c:pt>
            </c:numLit>
          </c:xVal>
          <c:yVal>
            <c:numLit>
              <c:formatCode>General</c:formatCode>
              <c:ptCount val="2"/>
              <c:pt idx="0">
                <c:v>2.9000000000000001E-2</c:v>
              </c:pt>
              <c:pt idx="1">
                <c:v>2.9000000000000001E-2</c:v>
              </c:pt>
            </c:numLit>
          </c:yVal>
          <c:smooth val="0"/>
          <c:extLst>
            <c:ext xmlns:c16="http://schemas.microsoft.com/office/drawing/2014/chart" uri="{C3380CC4-5D6E-409C-BE32-E72D297353CC}">
              <c16:uniqueId val="{000000B0-844E-4682-A2A9-16C8DE91A3A0}"/>
            </c:ext>
          </c:extLst>
        </c:ser>
        <c:ser>
          <c:idx val="147"/>
          <c:order val="147"/>
          <c:tx>
            <c:v>x=0.0292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2.92E-2</c:v>
              </c:pt>
              <c:pt idx="1">
                <c:v>2.92E-2</c:v>
              </c:pt>
            </c:numLit>
          </c:yVal>
          <c:smooth val="0"/>
          <c:extLst>
            <c:ext xmlns:c16="http://schemas.microsoft.com/office/drawing/2014/chart" uri="{C3380CC4-5D6E-409C-BE32-E72D297353CC}">
              <c16:uniqueId val="{000000B1-844E-4682-A2A9-16C8DE91A3A0}"/>
            </c:ext>
          </c:extLst>
        </c:ser>
        <c:ser>
          <c:idx val="148"/>
          <c:order val="148"/>
          <c:tx>
            <c:v>x=0.0294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2.9400000000000003E-2</c:v>
              </c:pt>
              <c:pt idx="1">
                <c:v>2.9400000000000003E-2</c:v>
              </c:pt>
            </c:numLit>
          </c:yVal>
          <c:smooth val="0"/>
          <c:extLst>
            <c:ext xmlns:c16="http://schemas.microsoft.com/office/drawing/2014/chart" uri="{C3380CC4-5D6E-409C-BE32-E72D297353CC}">
              <c16:uniqueId val="{000000B2-844E-4682-A2A9-16C8DE91A3A0}"/>
            </c:ext>
          </c:extLst>
        </c:ser>
        <c:ser>
          <c:idx val="149"/>
          <c:order val="149"/>
          <c:tx>
            <c:v>x=0.0296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2.9600000000000001E-2</c:v>
              </c:pt>
              <c:pt idx="1">
                <c:v>2.9600000000000001E-2</c:v>
              </c:pt>
            </c:numLit>
          </c:yVal>
          <c:smooth val="0"/>
          <c:extLst>
            <c:ext xmlns:c16="http://schemas.microsoft.com/office/drawing/2014/chart" uri="{C3380CC4-5D6E-409C-BE32-E72D297353CC}">
              <c16:uniqueId val="{000000B3-844E-4682-A2A9-16C8DE91A3A0}"/>
            </c:ext>
          </c:extLst>
        </c:ser>
        <c:ser>
          <c:idx val="150"/>
          <c:order val="150"/>
          <c:tx>
            <c:v>x=0.0298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2.98E-2</c:v>
              </c:pt>
              <c:pt idx="1">
                <c:v>2.98E-2</c:v>
              </c:pt>
            </c:numLit>
          </c:yVal>
          <c:smooth val="0"/>
          <c:extLst>
            <c:ext xmlns:c16="http://schemas.microsoft.com/office/drawing/2014/chart" uri="{C3380CC4-5D6E-409C-BE32-E72D297353CC}">
              <c16:uniqueId val="{000000B4-844E-4682-A2A9-16C8DE91A3A0}"/>
            </c:ext>
          </c:extLst>
        </c:ser>
        <c:ser>
          <c:idx val="151"/>
          <c:order val="151"/>
          <c:tx>
            <c:v>x=0.03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5-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29.649709741550694</c:v>
              </c:pt>
              <c:pt idx="1">
                <c:v>66.8</c:v>
              </c:pt>
            </c:numLit>
          </c:xVal>
          <c:yVal>
            <c:numLit>
              <c:formatCode>General</c:formatCode>
              <c:ptCount val="2"/>
              <c:pt idx="0">
                <c:v>3.0000000000000002E-2</c:v>
              </c:pt>
              <c:pt idx="1">
                <c:v>3.0000000000000002E-2</c:v>
              </c:pt>
            </c:numLit>
          </c:yVal>
          <c:smooth val="0"/>
          <c:extLst>
            <c:ext xmlns:c16="http://schemas.microsoft.com/office/drawing/2014/chart" uri="{C3380CC4-5D6E-409C-BE32-E72D297353CC}">
              <c16:uniqueId val="{000000B6-844E-4682-A2A9-16C8DE91A3A0}"/>
            </c:ext>
          </c:extLst>
        </c:ser>
        <c:ser>
          <c:idx val="152"/>
          <c:order val="152"/>
          <c:tx>
            <c:v>x=0.0302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3.0200000000000001E-2</c:v>
              </c:pt>
              <c:pt idx="1">
                <c:v>3.0200000000000001E-2</c:v>
              </c:pt>
            </c:numLit>
          </c:yVal>
          <c:smooth val="0"/>
          <c:extLst>
            <c:ext xmlns:c16="http://schemas.microsoft.com/office/drawing/2014/chart" uri="{C3380CC4-5D6E-409C-BE32-E72D297353CC}">
              <c16:uniqueId val="{000000B7-844E-4682-A2A9-16C8DE91A3A0}"/>
            </c:ext>
          </c:extLst>
        </c:ser>
        <c:ser>
          <c:idx val="153"/>
          <c:order val="153"/>
          <c:tx>
            <c:v>x=0.0304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3.04E-2</c:v>
              </c:pt>
              <c:pt idx="1">
                <c:v>3.04E-2</c:v>
              </c:pt>
            </c:numLit>
          </c:yVal>
          <c:smooth val="0"/>
          <c:extLst>
            <c:ext xmlns:c16="http://schemas.microsoft.com/office/drawing/2014/chart" uri="{C3380CC4-5D6E-409C-BE32-E72D297353CC}">
              <c16:uniqueId val="{000000B8-844E-4682-A2A9-16C8DE91A3A0}"/>
            </c:ext>
          </c:extLst>
        </c:ser>
        <c:ser>
          <c:idx val="154"/>
          <c:order val="154"/>
          <c:tx>
            <c:v>x=0.0306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3.0600000000000002E-2</c:v>
              </c:pt>
              <c:pt idx="1">
                <c:v>3.0600000000000002E-2</c:v>
              </c:pt>
            </c:numLit>
          </c:yVal>
          <c:smooth val="0"/>
          <c:extLst>
            <c:ext xmlns:c16="http://schemas.microsoft.com/office/drawing/2014/chart" uri="{C3380CC4-5D6E-409C-BE32-E72D297353CC}">
              <c16:uniqueId val="{000000B9-844E-4682-A2A9-16C8DE91A3A0}"/>
            </c:ext>
          </c:extLst>
        </c:ser>
        <c:ser>
          <c:idx val="155"/>
          <c:order val="155"/>
          <c:tx>
            <c:v>x=0.0308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3.0800000000000001E-2</c:v>
              </c:pt>
              <c:pt idx="1">
                <c:v>3.0800000000000001E-2</c:v>
              </c:pt>
            </c:numLit>
          </c:yVal>
          <c:smooth val="0"/>
          <c:extLst>
            <c:ext xmlns:c16="http://schemas.microsoft.com/office/drawing/2014/chart" uri="{C3380CC4-5D6E-409C-BE32-E72D297353CC}">
              <c16:uniqueId val="{000000BA-844E-4682-A2A9-16C8DE91A3A0}"/>
            </c:ext>
          </c:extLst>
        </c:ser>
        <c:ser>
          <c:idx val="156"/>
          <c:order val="156"/>
          <c:tx>
            <c:v>x=0.031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B-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30.167557256461233</c:v>
              </c:pt>
              <c:pt idx="1">
                <c:v>66.8</c:v>
              </c:pt>
            </c:numLit>
          </c:xVal>
          <c:yVal>
            <c:numLit>
              <c:formatCode>General</c:formatCode>
              <c:ptCount val="2"/>
              <c:pt idx="0">
                <c:v>3.1E-2</c:v>
              </c:pt>
              <c:pt idx="1">
                <c:v>3.1E-2</c:v>
              </c:pt>
            </c:numLit>
          </c:yVal>
          <c:smooth val="0"/>
          <c:extLst>
            <c:ext xmlns:c16="http://schemas.microsoft.com/office/drawing/2014/chart" uri="{C3380CC4-5D6E-409C-BE32-E72D297353CC}">
              <c16:uniqueId val="{000000BC-844E-4682-A2A9-16C8DE91A3A0}"/>
            </c:ext>
          </c:extLst>
        </c:ser>
        <c:ser>
          <c:idx val="157"/>
          <c:order val="157"/>
          <c:tx>
            <c:v>x=0.0312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3.1200000000000002E-2</c:v>
              </c:pt>
              <c:pt idx="1">
                <c:v>3.1200000000000002E-2</c:v>
              </c:pt>
            </c:numLit>
          </c:yVal>
          <c:smooth val="0"/>
          <c:extLst>
            <c:ext xmlns:c16="http://schemas.microsoft.com/office/drawing/2014/chart" uri="{C3380CC4-5D6E-409C-BE32-E72D297353CC}">
              <c16:uniqueId val="{000000BD-844E-4682-A2A9-16C8DE91A3A0}"/>
            </c:ext>
          </c:extLst>
        </c:ser>
        <c:ser>
          <c:idx val="158"/>
          <c:order val="158"/>
          <c:tx>
            <c:v>x=0.0314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3.1400000000000004E-2</c:v>
              </c:pt>
              <c:pt idx="1">
                <c:v>3.1400000000000004E-2</c:v>
              </c:pt>
            </c:numLit>
          </c:yVal>
          <c:smooth val="0"/>
          <c:extLst>
            <c:ext xmlns:c16="http://schemas.microsoft.com/office/drawing/2014/chart" uri="{C3380CC4-5D6E-409C-BE32-E72D297353CC}">
              <c16:uniqueId val="{000000BE-844E-4682-A2A9-16C8DE91A3A0}"/>
            </c:ext>
          </c:extLst>
        </c:ser>
        <c:ser>
          <c:idx val="159"/>
          <c:order val="159"/>
          <c:tx>
            <c:v>x=0.0316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3.1600000000000003E-2</c:v>
              </c:pt>
              <c:pt idx="1">
                <c:v>3.1600000000000003E-2</c:v>
              </c:pt>
            </c:numLit>
          </c:yVal>
          <c:smooth val="0"/>
          <c:extLst>
            <c:ext xmlns:c16="http://schemas.microsoft.com/office/drawing/2014/chart" uri="{C3380CC4-5D6E-409C-BE32-E72D297353CC}">
              <c16:uniqueId val="{000000BF-844E-4682-A2A9-16C8DE91A3A0}"/>
            </c:ext>
          </c:extLst>
        </c:ser>
        <c:ser>
          <c:idx val="160"/>
          <c:order val="160"/>
          <c:tx>
            <c:v>x=0.0318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3.1800000000000002E-2</c:v>
              </c:pt>
              <c:pt idx="1">
                <c:v>3.1800000000000002E-2</c:v>
              </c:pt>
            </c:numLit>
          </c:yVal>
          <c:smooth val="0"/>
          <c:extLst>
            <c:ext xmlns:c16="http://schemas.microsoft.com/office/drawing/2014/chart" uri="{C3380CC4-5D6E-409C-BE32-E72D297353CC}">
              <c16:uniqueId val="{000000C0-844E-4682-A2A9-16C8DE91A3A0}"/>
            </c:ext>
          </c:extLst>
        </c:ser>
        <c:ser>
          <c:idx val="161"/>
          <c:order val="161"/>
          <c:tx>
            <c:v>x=0.032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30.676846918489069</c:v>
              </c:pt>
              <c:pt idx="1">
                <c:v>66.8</c:v>
              </c:pt>
            </c:numLit>
          </c:xVal>
          <c:yVal>
            <c:numLit>
              <c:formatCode>General</c:formatCode>
              <c:ptCount val="2"/>
              <c:pt idx="0">
                <c:v>3.2000000000000001E-2</c:v>
              </c:pt>
              <c:pt idx="1">
                <c:v>3.2000000000000001E-2</c:v>
              </c:pt>
            </c:numLit>
          </c:yVal>
          <c:smooth val="0"/>
          <c:extLst>
            <c:ext xmlns:c16="http://schemas.microsoft.com/office/drawing/2014/chart" uri="{C3380CC4-5D6E-409C-BE32-E72D297353CC}">
              <c16:uniqueId val="{000000C2-844E-4682-A2A9-16C8DE91A3A0}"/>
            </c:ext>
          </c:extLst>
        </c:ser>
        <c:ser>
          <c:idx val="162"/>
          <c:order val="162"/>
          <c:tx>
            <c:v>x=0.0322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3.2199999999999999E-2</c:v>
              </c:pt>
              <c:pt idx="1">
                <c:v>3.2199999999999999E-2</c:v>
              </c:pt>
            </c:numLit>
          </c:yVal>
          <c:smooth val="0"/>
          <c:extLst>
            <c:ext xmlns:c16="http://schemas.microsoft.com/office/drawing/2014/chart" uri="{C3380CC4-5D6E-409C-BE32-E72D297353CC}">
              <c16:uniqueId val="{000000C3-844E-4682-A2A9-16C8DE91A3A0}"/>
            </c:ext>
          </c:extLst>
        </c:ser>
        <c:ser>
          <c:idx val="163"/>
          <c:order val="163"/>
          <c:tx>
            <c:v>x=0.0324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3.2399999999999998E-2</c:v>
              </c:pt>
              <c:pt idx="1">
                <c:v>3.2399999999999998E-2</c:v>
              </c:pt>
            </c:numLit>
          </c:yVal>
          <c:smooth val="0"/>
          <c:extLst>
            <c:ext xmlns:c16="http://schemas.microsoft.com/office/drawing/2014/chart" uri="{C3380CC4-5D6E-409C-BE32-E72D297353CC}">
              <c16:uniqueId val="{000000C4-844E-4682-A2A9-16C8DE91A3A0}"/>
            </c:ext>
          </c:extLst>
        </c:ser>
        <c:ser>
          <c:idx val="164"/>
          <c:order val="164"/>
          <c:tx>
            <c:v>x=0.0326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3.2600000000000004E-2</c:v>
              </c:pt>
              <c:pt idx="1">
                <c:v>3.2600000000000004E-2</c:v>
              </c:pt>
            </c:numLit>
          </c:yVal>
          <c:smooth val="0"/>
          <c:extLst>
            <c:ext xmlns:c16="http://schemas.microsoft.com/office/drawing/2014/chart" uri="{C3380CC4-5D6E-409C-BE32-E72D297353CC}">
              <c16:uniqueId val="{000000C5-844E-4682-A2A9-16C8DE91A3A0}"/>
            </c:ext>
          </c:extLst>
        </c:ser>
        <c:ser>
          <c:idx val="165"/>
          <c:order val="165"/>
          <c:tx>
            <c:v>x=0.0328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3.2800000000000003E-2</c:v>
              </c:pt>
              <c:pt idx="1">
                <c:v>3.2800000000000003E-2</c:v>
              </c:pt>
            </c:numLit>
          </c:yVal>
          <c:smooth val="0"/>
          <c:extLst>
            <c:ext xmlns:c16="http://schemas.microsoft.com/office/drawing/2014/chart" uri="{C3380CC4-5D6E-409C-BE32-E72D297353CC}">
              <c16:uniqueId val="{000000C6-844E-4682-A2A9-16C8DE91A3A0}"/>
            </c:ext>
          </c:extLst>
        </c:ser>
        <c:ser>
          <c:idx val="166"/>
          <c:order val="166"/>
          <c:tx>
            <c:v>x=0.033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7-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31.166913121272369</c:v>
              </c:pt>
              <c:pt idx="1">
                <c:v>66.8</c:v>
              </c:pt>
            </c:numLit>
          </c:xVal>
          <c:yVal>
            <c:numLit>
              <c:formatCode>General</c:formatCode>
              <c:ptCount val="2"/>
              <c:pt idx="0">
                <c:v>3.3000000000000002E-2</c:v>
              </c:pt>
              <c:pt idx="1">
                <c:v>3.3000000000000002E-2</c:v>
              </c:pt>
            </c:numLit>
          </c:yVal>
          <c:smooth val="0"/>
          <c:extLst>
            <c:ext xmlns:c16="http://schemas.microsoft.com/office/drawing/2014/chart" uri="{C3380CC4-5D6E-409C-BE32-E72D297353CC}">
              <c16:uniqueId val="{000000C8-844E-4682-A2A9-16C8DE91A3A0}"/>
            </c:ext>
          </c:extLst>
        </c:ser>
        <c:ser>
          <c:idx val="167"/>
          <c:order val="167"/>
          <c:tx>
            <c:v>x=0.0332</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3.32E-2</c:v>
              </c:pt>
              <c:pt idx="1">
                <c:v>3.32E-2</c:v>
              </c:pt>
            </c:numLit>
          </c:yVal>
          <c:smooth val="0"/>
          <c:extLst>
            <c:ext xmlns:c16="http://schemas.microsoft.com/office/drawing/2014/chart" uri="{C3380CC4-5D6E-409C-BE32-E72D297353CC}">
              <c16:uniqueId val="{000000C9-844E-4682-A2A9-16C8DE91A3A0}"/>
            </c:ext>
          </c:extLst>
        </c:ser>
        <c:ser>
          <c:idx val="168"/>
          <c:order val="168"/>
          <c:tx>
            <c:v>x=0.0334</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3.3399999999999999E-2</c:v>
              </c:pt>
              <c:pt idx="1">
                <c:v>3.3399999999999999E-2</c:v>
              </c:pt>
            </c:numLit>
          </c:yVal>
          <c:smooth val="0"/>
          <c:extLst>
            <c:ext xmlns:c16="http://schemas.microsoft.com/office/drawing/2014/chart" uri="{C3380CC4-5D6E-409C-BE32-E72D297353CC}">
              <c16:uniqueId val="{000000CA-844E-4682-A2A9-16C8DE91A3A0}"/>
            </c:ext>
          </c:extLst>
        </c:ser>
        <c:ser>
          <c:idx val="169"/>
          <c:order val="169"/>
          <c:tx>
            <c:v>x=0.0336</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3.3600000000000005E-2</c:v>
              </c:pt>
              <c:pt idx="1">
                <c:v>3.3600000000000005E-2</c:v>
              </c:pt>
            </c:numLit>
          </c:yVal>
          <c:smooth val="0"/>
          <c:extLst>
            <c:ext xmlns:c16="http://schemas.microsoft.com/office/drawing/2014/chart" uri="{C3380CC4-5D6E-409C-BE32-E72D297353CC}">
              <c16:uniqueId val="{000000CB-844E-4682-A2A9-16C8DE91A3A0}"/>
            </c:ext>
          </c:extLst>
        </c:ser>
        <c:ser>
          <c:idx val="170"/>
          <c:order val="170"/>
          <c:tx>
            <c:v>x=0.0338</c:v>
          </c:tx>
          <c:spPr>
            <a:ln w="3175">
              <a:solidFill>
                <a:srgbClr val="969696"/>
              </a:solidFill>
              <a:prstDash val="solid"/>
            </a:ln>
          </c:spPr>
          <c:marker>
            <c:symbol val="none"/>
          </c:marker>
          <c:xVal>
            <c:numLit>
              <c:formatCode>General</c:formatCode>
              <c:ptCount val="2"/>
              <c:pt idx="0">
                <c:v>66.5</c:v>
              </c:pt>
              <c:pt idx="1">
                <c:v>66.8</c:v>
              </c:pt>
            </c:numLit>
          </c:xVal>
          <c:yVal>
            <c:numLit>
              <c:formatCode>General</c:formatCode>
              <c:ptCount val="2"/>
              <c:pt idx="0">
                <c:v>3.3800000000000004E-2</c:v>
              </c:pt>
              <c:pt idx="1">
                <c:v>3.3800000000000004E-2</c:v>
              </c:pt>
            </c:numLit>
          </c:yVal>
          <c:smooth val="0"/>
          <c:extLst>
            <c:ext xmlns:c16="http://schemas.microsoft.com/office/drawing/2014/chart" uri="{C3380CC4-5D6E-409C-BE32-E72D297353CC}">
              <c16:uniqueId val="{000000CC-844E-4682-A2A9-16C8DE91A3A0}"/>
            </c:ext>
          </c:extLst>
        </c:ser>
        <c:ser>
          <c:idx val="171"/>
          <c:order val="171"/>
          <c:tx>
            <c:v>x=0.034</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-10.226000000000001</c:v>
              </c:pt>
              <c:pt idx="1">
                <c:v>66.8</c:v>
              </c:pt>
            </c:numLit>
          </c:xVal>
          <c:yVal>
            <c:numLit>
              <c:formatCode>General</c:formatCode>
              <c:ptCount val="2"/>
              <c:pt idx="0">
                <c:v>3.4000000000000002E-2</c:v>
              </c:pt>
              <c:pt idx="1">
                <c:v>3.4000000000000002E-2</c:v>
              </c:pt>
            </c:numLit>
          </c:yVal>
          <c:smooth val="0"/>
          <c:extLst>
            <c:ext xmlns:c16="http://schemas.microsoft.com/office/drawing/2014/chart" uri="{C3380CC4-5D6E-409C-BE32-E72D297353CC}">
              <c16:uniqueId val="{000000CE-844E-4682-A2A9-16C8DE91A3A0}"/>
            </c:ext>
          </c:extLst>
        </c:ser>
        <c:ser>
          <c:idx val="172"/>
          <c:order val="172"/>
          <c:tx>
            <c:v>絶対湿度座標軸ラベル</c:v>
          </c:tx>
          <c:spPr>
            <a:ln w="3175">
              <a:solidFill>
                <a:srgbClr val="000000"/>
              </a:solidFill>
              <a:prstDash val="solid"/>
            </a:ln>
          </c:spPr>
          <c:marker>
            <c:symbol val="none"/>
          </c:marker>
          <c:dLbls>
            <c:dLbl>
              <c:idx val="0"/>
              <c:layout>
                <c:manualLayout>
                  <c:x val="3.8194444444444448E-2"/>
                  <c:y val="0"/>
                </c:manualLayout>
              </c:layout>
              <c:tx>
                <c:rich>
                  <a:bodyPr rot="-540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絶対湿度 </a:t>
                    </a:r>
                    <a:r>
                      <a:rPr lang="en-US"/>
                      <a:t>x[kg/kg(DA)]</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66.8</c:v>
              </c:pt>
            </c:numLit>
          </c:xVal>
          <c:yVal>
            <c:numLit>
              <c:formatCode>General</c:formatCode>
              <c:ptCount val="1"/>
              <c:pt idx="0">
                <c:v>1.7000000000000001E-2</c:v>
              </c:pt>
            </c:numLit>
          </c:yVal>
          <c:smooth val="0"/>
          <c:extLst>
            <c:ext xmlns:c16="http://schemas.microsoft.com/office/drawing/2014/chart" uri="{C3380CC4-5D6E-409C-BE32-E72D297353CC}">
              <c16:uniqueId val="{000000D0-844E-4682-A2A9-16C8DE91A3A0}"/>
            </c:ext>
          </c:extLst>
        </c:ser>
        <c:ser>
          <c:idx val="173"/>
          <c:order val="173"/>
          <c:tx>
            <c:v>WB=-8</c:v>
          </c:tx>
          <c:spPr>
            <a:ln w="3175">
              <a:solidFill>
                <a:srgbClr val="3366FF"/>
              </a:solidFill>
              <a:prstDash val="sysDash"/>
            </a:ln>
          </c:spPr>
          <c:marker>
            <c:symbol val="none"/>
          </c:marker>
          <c:dLbls>
            <c:dLbl>
              <c:idx val="0"/>
              <c:layout>
                <c:manualLayout>
                  <c:x val="-2.7759459755030622E-2"/>
                  <c:y val="-4.2735042735042739E-3"/>
                </c:manualLayout>
              </c:layout>
              <c:tx>
                <c:rich>
                  <a:bodyPr rot="-36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-8.2622094885879349</c:v>
              </c:pt>
              <c:pt idx="1">
                <c:v>-2.5964270935913616</c:v>
              </c:pt>
            </c:numLit>
          </c:xVal>
          <c:yVal>
            <c:numLit>
              <c:formatCode>General</c:formatCode>
              <c:ptCount val="2"/>
              <c:pt idx="0">
                <c:v>1.9164686538757729E-3</c:v>
              </c:pt>
              <c:pt idx="1">
                <c:v>0</c:v>
              </c:pt>
            </c:numLit>
          </c:yVal>
          <c:smooth val="0"/>
          <c:extLst>
            <c:ext xmlns:c16="http://schemas.microsoft.com/office/drawing/2014/chart" uri="{C3380CC4-5D6E-409C-BE32-E72D297353CC}">
              <c16:uniqueId val="{000000D2-844E-4682-A2A9-16C8DE91A3A0}"/>
            </c:ext>
          </c:extLst>
        </c:ser>
        <c:ser>
          <c:idx val="174"/>
          <c:order val="174"/>
          <c:tx>
            <c:v>WB=-7</c:v>
          </c:tx>
          <c:spPr>
            <a:ln w="3175">
              <a:solidFill>
                <a:srgbClr val="3366FF"/>
              </a:solidFill>
              <a:prstDash val="sysDash"/>
            </a:ln>
          </c:spPr>
          <c:marker>
            <c:symbol val="none"/>
          </c:marker>
          <c:dLbls>
            <c:dLbl>
              <c:idx val="0"/>
              <c:layout>
                <c:manualLayout>
                  <c:x val="-2.7759459755030629E-2"/>
                  <c:y val="-4.2735042735042739E-3"/>
                </c:manualLayout>
              </c:layout>
              <c:tx>
                <c:rich>
                  <a:bodyPr rot="-36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3-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-7.282283738016889</c:v>
              </c:pt>
              <c:pt idx="1">
                <c:v>-1.1035359511019402</c:v>
              </c:pt>
            </c:numLit>
          </c:xVal>
          <c:yVal>
            <c:numLit>
              <c:formatCode>General</c:formatCode>
              <c:ptCount val="2"/>
              <c:pt idx="0">
                <c:v>2.0914526472602013E-3</c:v>
              </c:pt>
              <c:pt idx="1">
                <c:v>0</c:v>
              </c:pt>
            </c:numLit>
          </c:yVal>
          <c:smooth val="0"/>
          <c:extLst>
            <c:ext xmlns:c16="http://schemas.microsoft.com/office/drawing/2014/chart" uri="{C3380CC4-5D6E-409C-BE32-E72D297353CC}">
              <c16:uniqueId val="{000000D4-844E-4682-A2A9-16C8DE91A3A0}"/>
            </c:ext>
          </c:extLst>
        </c:ser>
        <c:ser>
          <c:idx val="175"/>
          <c:order val="175"/>
          <c:tx>
            <c:v>WB=-6</c:v>
          </c:tx>
          <c:spPr>
            <a:ln w="3175">
              <a:solidFill>
                <a:srgbClr val="3366FF"/>
              </a:solidFill>
              <a:prstDash val="sysDash"/>
            </a:ln>
          </c:spPr>
          <c:marker>
            <c:symbol val="none"/>
          </c:marker>
          <c:dLbls>
            <c:dLbl>
              <c:idx val="0"/>
              <c:layout>
                <c:manualLayout>
                  <c:x val="-2.7759459755030629E-2"/>
                  <c:y val="-4.2735042735042739E-3"/>
                </c:manualLayout>
              </c:layout>
              <c:tx>
                <c:rich>
                  <a:bodyPr rot="-36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5-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-6.3036452906426126</c:v>
              </c:pt>
              <c:pt idx="1">
                <c:v>0.43023773127142068</c:v>
              </c:pt>
            </c:numLit>
          </c:xVal>
          <c:yVal>
            <c:numLit>
              <c:formatCode>General</c:formatCode>
              <c:ptCount val="2"/>
              <c:pt idx="0">
                <c:v>2.2809674610698065E-3</c:v>
              </c:pt>
              <c:pt idx="1">
                <c:v>0</c:v>
              </c:pt>
            </c:numLit>
          </c:yVal>
          <c:smooth val="0"/>
          <c:extLst>
            <c:ext xmlns:c16="http://schemas.microsoft.com/office/drawing/2014/chart" uri="{C3380CC4-5D6E-409C-BE32-E72D297353CC}">
              <c16:uniqueId val="{000000D6-844E-4682-A2A9-16C8DE91A3A0}"/>
            </c:ext>
          </c:extLst>
        </c:ser>
        <c:ser>
          <c:idx val="176"/>
          <c:order val="176"/>
          <c:tx>
            <c:v>WB=-5</c:v>
          </c:tx>
          <c:spPr>
            <a:ln w="3175">
              <a:solidFill>
                <a:srgbClr val="3366FF"/>
              </a:solidFill>
              <a:prstDash val="sysDash"/>
            </a:ln>
          </c:spPr>
          <c:marker>
            <c:symbol val="none"/>
          </c:marker>
          <c:dLbls>
            <c:dLbl>
              <c:idx val="0"/>
              <c:layout>
                <c:manualLayout>
                  <c:x val="-2.7759459755030622E-2"/>
                  <c:y val="-4.2735042735042739E-3"/>
                </c:manualLayout>
              </c:layout>
              <c:tx>
                <c:rich>
                  <a:bodyPr rot="-36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7-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-5.3263563442463973</c:v>
              </c:pt>
              <c:pt idx="1">
                <c:v>2.007950163121949</c:v>
              </c:pt>
            </c:numLit>
          </c:xVal>
          <c:yVal>
            <c:numLit>
              <c:formatCode>General</c:formatCode>
              <c:ptCount val="2"/>
              <c:pt idx="0">
                <c:v>2.4861008807502316E-3</c:v>
              </c:pt>
              <c:pt idx="1">
                <c:v>0</c:v>
              </c:pt>
            </c:numLit>
          </c:yVal>
          <c:smooth val="0"/>
          <c:extLst>
            <c:ext xmlns:c16="http://schemas.microsoft.com/office/drawing/2014/chart" uri="{C3380CC4-5D6E-409C-BE32-E72D297353CC}">
              <c16:uniqueId val="{000000D8-844E-4682-A2A9-16C8DE91A3A0}"/>
            </c:ext>
          </c:extLst>
        </c:ser>
        <c:ser>
          <c:idx val="177"/>
          <c:order val="177"/>
          <c:tx>
            <c:v>WB=-4</c:v>
          </c:tx>
          <c:spPr>
            <a:ln w="3175">
              <a:solidFill>
                <a:srgbClr val="3366FF"/>
              </a:solidFill>
              <a:prstDash val="sysDash"/>
            </a:ln>
          </c:spPr>
          <c:marker>
            <c:symbol val="none"/>
          </c:marker>
          <c:dLbls>
            <c:dLbl>
              <c:idx val="0"/>
              <c:layout>
                <c:manualLayout>
                  <c:x val="-2.7759459755030622E-2"/>
                  <c:y val="-4.2735042735042739E-3"/>
                </c:manualLayout>
              </c:layout>
              <c:tx>
                <c:rich>
                  <a:bodyPr rot="-36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9-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-4.3504805174478607</c:v>
              </c:pt>
              <c:pt idx="1">
                <c:v>3.6328626927800842</c:v>
              </c:pt>
            </c:numLit>
          </c:xVal>
          <c:yVal>
            <c:numLit>
              <c:formatCode>General</c:formatCode>
              <c:ptCount val="2"/>
              <c:pt idx="0">
                <c:v>2.7080138291286308E-3</c:v>
              </c:pt>
              <c:pt idx="1">
                <c:v>0</c:v>
              </c:pt>
            </c:numLit>
          </c:yVal>
          <c:smooth val="0"/>
          <c:extLst>
            <c:ext xmlns:c16="http://schemas.microsoft.com/office/drawing/2014/chart" uri="{C3380CC4-5D6E-409C-BE32-E72D297353CC}">
              <c16:uniqueId val="{000000DA-844E-4682-A2A9-16C8DE91A3A0}"/>
            </c:ext>
          </c:extLst>
        </c:ser>
        <c:ser>
          <c:idx val="178"/>
          <c:order val="178"/>
          <c:tx>
            <c:v>WB=-3</c:v>
          </c:tx>
          <c:spPr>
            <a:ln w="3175">
              <a:solidFill>
                <a:srgbClr val="3366FF"/>
              </a:solidFill>
              <a:prstDash val="sysDash"/>
            </a:ln>
          </c:spPr>
          <c:marker>
            <c:symbol val="none"/>
          </c:marker>
          <c:dLbls>
            <c:dLbl>
              <c:idx val="0"/>
              <c:layout>
                <c:manualLayout>
                  <c:x val="-2.7759459755030635E-2"/>
                  <c:y val="-4.2735042735042739E-3"/>
                </c:manualLayout>
              </c:layout>
              <c:tx>
                <c:rich>
                  <a:bodyPr rot="-36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B-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-3.376082748277248</c:v>
              </c:pt>
              <c:pt idx="1">
                <c:v>5.3084544187917393</c:v>
              </c:pt>
            </c:numLit>
          </c:xVal>
          <c:yVal>
            <c:numLit>
              <c:formatCode>General</c:formatCode>
              <c:ptCount val="2"/>
              <c:pt idx="0">
                <c:v>2.9479448711774276E-3</c:v>
              </c:pt>
              <c:pt idx="1">
                <c:v>0</c:v>
              </c:pt>
            </c:numLit>
          </c:yVal>
          <c:smooth val="0"/>
          <c:extLst>
            <c:ext xmlns:c16="http://schemas.microsoft.com/office/drawing/2014/chart" uri="{C3380CC4-5D6E-409C-BE32-E72D297353CC}">
              <c16:uniqueId val="{000000DC-844E-4682-A2A9-16C8DE91A3A0}"/>
            </c:ext>
          </c:extLst>
        </c:ser>
        <c:ser>
          <c:idx val="179"/>
          <c:order val="179"/>
          <c:tx>
            <c:v>WB=-2</c:v>
          </c:tx>
          <c:spPr>
            <a:ln w="3175">
              <a:solidFill>
                <a:srgbClr val="3366FF"/>
              </a:solidFill>
              <a:prstDash val="sysDash"/>
            </a:ln>
          </c:spPr>
          <c:marker>
            <c:symbol val="none"/>
          </c:marker>
          <c:dLbls>
            <c:dLbl>
              <c:idx val="0"/>
              <c:layout>
                <c:manualLayout>
                  <c:x val="-2.7759459755030622E-2"/>
                  <c:y val="-4.2735042735044301E-3"/>
                </c:manualLayout>
              </c:layout>
              <c:tx>
                <c:rich>
                  <a:bodyPr rot="-36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-2.4032291778490422</c:v>
              </c:pt>
              <c:pt idx="1">
                <c:v>7.0384355813391366</c:v>
              </c:pt>
            </c:numLit>
          </c:xVal>
          <c:yVal>
            <c:numLit>
              <c:formatCode>General</c:formatCode>
              <c:ptCount val="2"/>
              <c:pt idx="0">
                <c:v>3.2072149977556683E-3</c:v>
              </c:pt>
              <c:pt idx="1">
                <c:v>0</c:v>
              </c:pt>
            </c:numLit>
          </c:yVal>
          <c:smooth val="0"/>
          <c:extLst>
            <c:ext xmlns:c16="http://schemas.microsoft.com/office/drawing/2014/chart" uri="{C3380CC4-5D6E-409C-BE32-E72D297353CC}">
              <c16:uniqueId val="{000000DE-844E-4682-A2A9-16C8DE91A3A0}"/>
            </c:ext>
          </c:extLst>
        </c:ser>
        <c:ser>
          <c:idx val="180"/>
          <c:order val="180"/>
          <c:tx>
            <c:v>WB=-1</c:v>
          </c:tx>
          <c:spPr>
            <a:ln w="3175">
              <a:solidFill>
                <a:srgbClr val="3366FF"/>
              </a:solidFill>
              <a:prstDash val="sysDash"/>
            </a:ln>
          </c:spPr>
          <c:marker>
            <c:symbol val="none"/>
          </c:marker>
          <c:dLbls>
            <c:dLbl>
              <c:idx val="0"/>
              <c:layout>
                <c:manualLayout>
                  <c:x val="-2.7759459755030635E-2"/>
                  <c:y val="-4.2735042735042739E-3"/>
                </c:manualLayout>
              </c:layout>
              <c:tx>
                <c:rich>
                  <a:bodyPr rot="-36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F-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-1.4319870181527783</c:v>
              </c:pt>
              <c:pt idx="1">
                <c:v>8.8267617928991733</c:v>
              </c:pt>
            </c:numLit>
          </c:xVal>
          <c:yVal>
            <c:numLit>
              <c:formatCode>General</c:formatCode>
              <c:ptCount val="2"/>
              <c:pt idx="0">
                <c:v>3.4872327095305327E-3</c:v>
              </c:pt>
              <c:pt idx="1">
                <c:v>0</c:v>
              </c:pt>
            </c:numLit>
          </c:yVal>
          <c:smooth val="0"/>
          <c:extLst>
            <c:ext xmlns:c16="http://schemas.microsoft.com/office/drawing/2014/chart" uri="{C3380CC4-5D6E-409C-BE32-E72D297353CC}">
              <c16:uniqueId val="{000000E0-844E-4682-A2A9-16C8DE91A3A0}"/>
            </c:ext>
          </c:extLst>
        </c:ser>
        <c:ser>
          <c:idx val="181"/>
          <c:order val="181"/>
          <c:tx>
            <c:v>WB=0</c:v>
          </c:tx>
          <c:spPr>
            <a:ln w="3175">
              <a:solidFill>
                <a:srgbClr val="3366FF"/>
              </a:solidFill>
              <a:prstDash val="sysDash"/>
            </a:ln>
          </c:spPr>
          <c:marker>
            <c:symbol val="none"/>
          </c:marker>
          <c:dLbls>
            <c:dLbl>
              <c:idx val="0"/>
              <c:layout>
                <c:manualLayout>
                  <c:x val="-2.6240430883639546E-2"/>
                  <c:y val="-4.2735042735044301E-3"/>
                </c:manualLayout>
              </c:layout>
              <c:tx>
                <c:rich>
                  <a:bodyPr rot="-36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-0.46242440293020992</c:v>
              </c:pt>
              <c:pt idx="1">
                <c:v>10.677649173557942</c:v>
              </c:pt>
            </c:numLit>
          </c:xVal>
          <c:yVal>
            <c:numLit>
              <c:formatCode>General</c:formatCode>
              <c:ptCount val="2"/>
              <c:pt idx="0">
                <c:v>3.7894994244688104E-3</c:v>
              </c:pt>
              <c:pt idx="1">
                <c:v>0</c:v>
              </c:pt>
            </c:numLit>
          </c:yVal>
          <c:smooth val="0"/>
          <c:extLst>
            <c:ext xmlns:c16="http://schemas.microsoft.com/office/drawing/2014/chart" uri="{C3380CC4-5D6E-409C-BE32-E72D297353CC}">
              <c16:uniqueId val="{000000E2-844E-4682-A2A9-16C8DE91A3A0}"/>
            </c:ext>
          </c:extLst>
        </c:ser>
        <c:ser>
          <c:idx val="182"/>
          <c:order val="182"/>
          <c:tx>
            <c:v>WB=1</c:v>
          </c:tx>
          <c:spPr>
            <a:ln w="3175">
              <a:solidFill>
                <a:srgbClr val="3366FF"/>
              </a:solidFill>
              <a:prstDash val="sysDash"/>
            </a:ln>
          </c:spPr>
          <c:marker>
            <c:symbol val="none"/>
          </c:marker>
          <c:dLbls>
            <c:dLbl>
              <c:idx val="0"/>
              <c:layout>
                <c:manualLayout>
                  <c:x val="-2.6321221566054227E-2"/>
                  <c:y val="-4.2735042735042739E-3"/>
                </c:manualLayout>
              </c:layout>
              <c:tx>
                <c:rich>
                  <a:bodyPr rot="-34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3-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0.51015043441492258</c:v>
              </c:pt>
              <c:pt idx="1">
                <c:v>11.123857513967971</c:v>
              </c:pt>
            </c:numLit>
          </c:xVal>
          <c:yVal>
            <c:numLit>
              <c:formatCode>General</c:formatCode>
              <c:ptCount val="2"/>
              <c:pt idx="0">
                <c:v>4.076002175174424E-3</c:v>
              </c:pt>
              <c:pt idx="1">
                <c:v>0</c:v>
              </c:pt>
            </c:numLit>
          </c:yVal>
          <c:smooth val="0"/>
          <c:extLst>
            <c:ext xmlns:c16="http://schemas.microsoft.com/office/drawing/2014/chart" uri="{C3380CC4-5D6E-409C-BE32-E72D297353CC}">
              <c16:uniqueId val="{000000E4-844E-4682-A2A9-16C8DE91A3A0}"/>
            </c:ext>
          </c:extLst>
        </c:ser>
        <c:ser>
          <c:idx val="183"/>
          <c:order val="183"/>
          <c:tx>
            <c:v>WB=2</c:v>
          </c:tx>
          <c:spPr>
            <a:ln w="3175">
              <a:solidFill>
                <a:srgbClr val="3366FF"/>
              </a:solidFill>
              <a:prstDash val="sysDash"/>
            </a:ln>
          </c:spPr>
          <c:marker>
            <c:symbol val="none"/>
          </c:marker>
          <c:dLbls>
            <c:dLbl>
              <c:idx val="0"/>
              <c:layout>
                <c:manualLayout>
                  <c:x val="-2.6321221566054244E-2"/>
                  <c:y val="-4.2735042735042739E-3"/>
                </c:manualLayout>
              </c:layout>
              <c:tx>
                <c:rich>
                  <a:bodyPr rot="-34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5-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1.4815626096994845</c:v>
              </c:pt>
              <c:pt idx="1">
                <c:v>12.871977002704231</c:v>
              </c:pt>
            </c:numLit>
          </c:xVal>
          <c:yVal>
            <c:numLit>
              <c:formatCode>General</c:formatCode>
              <c:ptCount val="2"/>
              <c:pt idx="0">
                <c:v>4.3812837251538872E-3</c:v>
              </c:pt>
              <c:pt idx="1">
                <c:v>0</c:v>
              </c:pt>
            </c:numLit>
          </c:yVal>
          <c:smooth val="0"/>
          <c:extLst>
            <c:ext xmlns:c16="http://schemas.microsoft.com/office/drawing/2014/chart" uri="{C3380CC4-5D6E-409C-BE32-E72D297353CC}">
              <c16:uniqueId val="{000000E6-844E-4682-A2A9-16C8DE91A3A0}"/>
            </c:ext>
          </c:extLst>
        </c:ser>
        <c:ser>
          <c:idx val="184"/>
          <c:order val="184"/>
          <c:tx>
            <c:v>WB=3</c:v>
          </c:tx>
          <c:spPr>
            <a:ln w="3175">
              <a:solidFill>
                <a:srgbClr val="3366FF"/>
              </a:solidFill>
              <a:prstDash val="sysDash"/>
            </a:ln>
          </c:spPr>
          <c:marker>
            <c:symbol val="none"/>
          </c:marker>
          <c:dLbls>
            <c:dLbl>
              <c:idx val="0"/>
              <c:layout>
                <c:manualLayout>
                  <c:x val="-2.6321221566054244E-2"/>
                  <c:y val="-4.2735042735042739E-3"/>
                </c:manualLayout>
              </c:layout>
              <c:tx>
                <c:rich>
                  <a:bodyPr rot="-34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7-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2.4517428387577267</c:v>
              </c:pt>
              <c:pt idx="1">
                <c:v>14.668931744288928</c:v>
              </c:pt>
            </c:numLit>
          </c:xVal>
          <c:yVal>
            <c:numLit>
              <c:formatCode>General</c:formatCode>
              <c:ptCount val="2"/>
              <c:pt idx="0">
                <c:v>4.7068331132422495E-3</c:v>
              </c:pt>
              <c:pt idx="1">
                <c:v>0</c:v>
              </c:pt>
            </c:numLit>
          </c:yVal>
          <c:smooth val="0"/>
          <c:extLst>
            <c:ext xmlns:c16="http://schemas.microsoft.com/office/drawing/2014/chart" uri="{C3380CC4-5D6E-409C-BE32-E72D297353CC}">
              <c16:uniqueId val="{000000E8-844E-4682-A2A9-16C8DE91A3A0}"/>
            </c:ext>
          </c:extLst>
        </c:ser>
        <c:ser>
          <c:idx val="185"/>
          <c:order val="185"/>
          <c:tx>
            <c:v>WB=4</c:v>
          </c:tx>
          <c:spPr>
            <a:ln w="3175">
              <a:solidFill>
                <a:srgbClr val="3366FF"/>
              </a:solidFill>
              <a:prstDash val="sysDash"/>
            </a:ln>
          </c:spPr>
          <c:marker>
            <c:symbol val="none"/>
          </c:marker>
          <c:dLbls>
            <c:dLbl>
              <c:idx val="0"/>
              <c:layout>
                <c:manualLayout>
                  <c:x val="-2.6321221566054275E-2"/>
                  <c:y val="-4.2735042735042739E-3"/>
                </c:manualLayout>
              </c:layout>
              <c:tx>
                <c:rich>
                  <a:bodyPr rot="-34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9-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3.4206687308458328</c:v>
              </c:pt>
              <c:pt idx="1">
                <c:v>16.517493982191819</c:v>
              </c:pt>
            </c:numLit>
          </c:xVal>
          <c:yVal>
            <c:numLit>
              <c:formatCode>General</c:formatCode>
              <c:ptCount val="2"/>
              <c:pt idx="0">
                <c:v>5.0538263680982628E-3</c:v>
              </c:pt>
              <c:pt idx="1">
                <c:v>0</c:v>
              </c:pt>
            </c:numLit>
          </c:yVal>
          <c:smooth val="0"/>
          <c:extLst>
            <c:ext xmlns:c16="http://schemas.microsoft.com/office/drawing/2014/chart" uri="{C3380CC4-5D6E-409C-BE32-E72D297353CC}">
              <c16:uniqueId val="{000000EA-844E-4682-A2A9-16C8DE91A3A0}"/>
            </c:ext>
          </c:extLst>
        </c:ser>
        <c:ser>
          <c:idx val="186"/>
          <c:order val="186"/>
          <c:tx>
            <c:v>WB=5</c:v>
          </c:tx>
          <c:spPr>
            <a:ln w="3175">
              <a:solidFill>
                <a:srgbClr val="3366FF"/>
              </a:solidFill>
              <a:prstDash val="sysDash"/>
            </a:ln>
          </c:spPr>
          <c:marker>
            <c:symbol val="none"/>
          </c:marker>
          <c:dLbls>
            <c:dLbl>
              <c:idx val="0"/>
              <c:layout>
                <c:manualLayout>
                  <c:x val="-2.6321221566054244E-2"/>
                  <c:y val="-4.2735042735044301E-3"/>
                </c:manualLayout>
              </c:layout>
              <c:tx>
                <c:rich>
                  <a:bodyPr rot="-34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B-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4.388319875013365</c:v>
              </c:pt>
              <c:pt idx="1">
                <c:v>18.420572472571656</c:v>
              </c:pt>
            </c:numLit>
          </c:xVal>
          <c:yVal>
            <c:numLit>
              <c:formatCode>General</c:formatCode>
              <c:ptCount val="2"/>
              <c:pt idx="0">
                <c:v>5.4234990810554818E-3</c:v>
              </c:pt>
              <c:pt idx="1">
                <c:v>0</c:v>
              </c:pt>
            </c:numLit>
          </c:yVal>
          <c:smooth val="0"/>
          <c:extLst>
            <c:ext xmlns:c16="http://schemas.microsoft.com/office/drawing/2014/chart" uri="{C3380CC4-5D6E-409C-BE32-E72D297353CC}">
              <c16:uniqueId val="{000000EC-844E-4682-A2A9-16C8DE91A3A0}"/>
            </c:ext>
          </c:extLst>
        </c:ser>
        <c:ser>
          <c:idx val="187"/>
          <c:order val="187"/>
          <c:tx>
            <c:v>WB=6</c:v>
          </c:tx>
          <c:spPr>
            <a:ln w="3175">
              <a:solidFill>
                <a:srgbClr val="3366FF"/>
              </a:solidFill>
              <a:prstDash val="sysDash"/>
            </a:ln>
          </c:spPr>
          <c:marker>
            <c:symbol val="none"/>
          </c:marker>
          <c:dLbls>
            <c:dLbl>
              <c:idx val="0"/>
              <c:layout>
                <c:manualLayout>
                  <c:x val="-2.6321221566054244E-2"/>
                  <c:y val="-4.2735042735042739E-3"/>
                </c:manualLayout>
              </c:layout>
              <c:tx>
                <c:rich>
                  <a:bodyPr rot="-34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5.3546651030540735</c:v>
              </c:pt>
              <c:pt idx="1">
                <c:v>20.381507916128903</c:v>
              </c:pt>
            </c:numLit>
          </c:xVal>
          <c:yVal>
            <c:numLit>
              <c:formatCode>General</c:formatCode>
              <c:ptCount val="2"/>
              <c:pt idx="0">
                <c:v>5.8172661857312045E-3</c:v>
              </c:pt>
              <c:pt idx="1">
                <c:v>0</c:v>
              </c:pt>
            </c:numLit>
          </c:yVal>
          <c:smooth val="0"/>
          <c:extLst>
            <c:ext xmlns:c16="http://schemas.microsoft.com/office/drawing/2014/chart" uri="{C3380CC4-5D6E-409C-BE32-E72D297353CC}">
              <c16:uniqueId val="{000000EE-844E-4682-A2A9-16C8DE91A3A0}"/>
            </c:ext>
          </c:extLst>
        </c:ser>
        <c:ser>
          <c:idx val="188"/>
          <c:order val="188"/>
          <c:tx>
            <c:v>WB=7</c:v>
          </c:tx>
          <c:spPr>
            <a:ln w="3175">
              <a:solidFill>
                <a:srgbClr val="3366FF"/>
              </a:solidFill>
              <a:prstDash val="sysDash"/>
            </a:ln>
          </c:spPr>
          <c:marker>
            <c:symbol val="none"/>
          </c:marker>
          <c:dLbls>
            <c:dLbl>
              <c:idx val="0"/>
              <c:layout>
                <c:manualLayout>
                  <c:x val="-2.6339949693788309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F-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6.3197002495830636</c:v>
              </c:pt>
              <c:pt idx="1">
                <c:v>22.403253465067159</c:v>
              </c:pt>
            </c:numLit>
          </c:xVal>
          <c:yVal>
            <c:numLit>
              <c:formatCode>General</c:formatCode>
              <c:ptCount val="2"/>
              <c:pt idx="0">
                <c:v>6.236391005280101E-3</c:v>
              </c:pt>
              <c:pt idx="1">
                <c:v>0</c:v>
              </c:pt>
            </c:numLit>
          </c:yVal>
          <c:smooth val="0"/>
          <c:extLst>
            <c:ext xmlns:c16="http://schemas.microsoft.com/office/drawing/2014/chart" uri="{C3380CC4-5D6E-409C-BE32-E72D297353CC}">
              <c16:uniqueId val="{000000F0-844E-4682-A2A9-16C8DE91A3A0}"/>
            </c:ext>
          </c:extLst>
        </c:ser>
        <c:ser>
          <c:idx val="189"/>
          <c:order val="189"/>
          <c:tx>
            <c:v>WB=8</c:v>
          </c:tx>
          <c:spPr>
            <a:ln w="3175">
              <a:solidFill>
                <a:srgbClr val="3366FF"/>
              </a:solidFill>
              <a:prstDash val="sysDash"/>
            </a:ln>
          </c:spPr>
          <c:marker>
            <c:symbol val="none"/>
          </c:marker>
          <c:dLbls>
            <c:dLbl>
              <c:idx val="0"/>
              <c:layout>
                <c:manualLayout>
                  <c:x val="-2.6339949693788309E-2"/>
                  <c:y val="-4.2735042735044301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7.283412255146529</c:v>
              </c:pt>
              <c:pt idx="1">
                <c:v>24.489170236580446</c:v>
              </c:pt>
            </c:numLit>
          </c:xVal>
          <c:yVal>
            <c:numLit>
              <c:formatCode>General</c:formatCode>
              <c:ptCount val="2"/>
              <c:pt idx="0">
                <c:v>6.6823069273506883E-3</c:v>
              </c:pt>
              <c:pt idx="1">
                <c:v>0</c:v>
              </c:pt>
            </c:numLit>
          </c:yVal>
          <c:smooth val="0"/>
          <c:extLst>
            <c:ext xmlns:c16="http://schemas.microsoft.com/office/drawing/2014/chart" uri="{C3380CC4-5D6E-409C-BE32-E72D297353CC}">
              <c16:uniqueId val="{000000F2-844E-4682-A2A9-16C8DE91A3A0}"/>
            </c:ext>
          </c:extLst>
        </c:ser>
        <c:ser>
          <c:idx val="190"/>
          <c:order val="190"/>
          <c:tx>
            <c:v>WB=9</c:v>
          </c:tx>
          <c:spPr>
            <a:ln w="3175">
              <a:solidFill>
                <a:srgbClr val="3366FF"/>
              </a:solidFill>
              <a:prstDash val="sysDash"/>
            </a:ln>
          </c:spPr>
          <c:marker>
            <c:symbol val="none"/>
          </c:marker>
          <c:dLbls>
            <c:dLbl>
              <c:idx val="0"/>
              <c:layout>
                <c:manualLayout>
                  <c:x val="-2.6339949693788309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3-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8.2457910866084418</c:v>
              </c:pt>
              <c:pt idx="1">
                <c:v>26.642783276734082</c:v>
              </c:pt>
            </c:numLit>
          </c:xVal>
          <c:yVal>
            <c:numLit>
              <c:formatCode>General</c:formatCode>
              <c:ptCount val="2"/>
              <c:pt idx="0">
                <c:v>7.156519212147776E-3</c:v>
              </c:pt>
              <c:pt idx="1">
                <c:v>0</c:v>
              </c:pt>
            </c:numLit>
          </c:yVal>
          <c:smooth val="0"/>
          <c:extLst>
            <c:ext xmlns:c16="http://schemas.microsoft.com/office/drawing/2014/chart" uri="{C3380CC4-5D6E-409C-BE32-E72D297353CC}">
              <c16:uniqueId val="{000000F4-844E-4682-A2A9-16C8DE91A3A0}"/>
            </c:ext>
          </c:extLst>
        </c:ser>
        <c:ser>
          <c:idx val="191"/>
          <c:order val="191"/>
          <c:tx>
            <c:v>WB=10</c:v>
          </c:tx>
          <c:spPr>
            <a:ln w="3175">
              <a:solidFill>
                <a:srgbClr val="3366FF"/>
              </a:solidFill>
              <a:prstDash val="sysDash"/>
            </a:ln>
          </c:spPr>
          <c:marker>
            <c:symbol val="none"/>
          </c:marker>
          <c:dLbls>
            <c:dLbl>
              <c:idx val="0"/>
              <c:layout>
                <c:manualLayout>
                  <c:x val="-2.8038877952755874E-2"/>
                  <c:y val="-4.273504273504352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5-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9.2068300390283753</c:v>
              </c:pt>
              <c:pt idx="1">
                <c:v>28.867789353857855</c:v>
              </c:pt>
            </c:numLit>
          </c:xVal>
          <c:yVal>
            <c:numLit>
              <c:formatCode>General</c:formatCode>
              <c:ptCount val="2"/>
              <c:pt idx="0">
                <c:v>7.6606084940231836E-3</c:v>
              </c:pt>
              <c:pt idx="1">
                <c:v>0</c:v>
              </c:pt>
            </c:numLit>
          </c:yVal>
          <c:smooth val="0"/>
          <c:extLst>
            <c:ext xmlns:c16="http://schemas.microsoft.com/office/drawing/2014/chart" uri="{C3380CC4-5D6E-409C-BE32-E72D297353CC}">
              <c16:uniqueId val="{000000F6-844E-4682-A2A9-16C8DE91A3A0}"/>
            </c:ext>
          </c:extLst>
        </c:ser>
        <c:ser>
          <c:idx val="192"/>
          <c:order val="192"/>
          <c:tx>
            <c:v>WB=11</c:v>
          </c:tx>
          <c:spPr>
            <a:ln w="3175">
              <a:solidFill>
                <a:srgbClr val="3366FF"/>
              </a:solidFill>
              <a:prstDash val="sysDash"/>
            </a:ln>
          </c:spPr>
          <c:marker>
            <c:symbol val="none"/>
          </c:marker>
          <c:dLbls>
            <c:dLbl>
              <c:idx val="0"/>
              <c:layout>
                <c:manualLayout>
                  <c:x val="-2.8038877952755937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7-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10.166509231536022</c:v>
              </c:pt>
              <c:pt idx="1">
                <c:v>31.168472308176845</c:v>
              </c:pt>
            </c:numLit>
          </c:xVal>
          <c:yVal>
            <c:numLit>
              <c:formatCode>General</c:formatCode>
              <c:ptCount val="2"/>
              <c:pt idx="0">
                <c:v>8.196399932304619E-3</c:v>
              </c:pt>
              <c:pt idx="1">
                <c:v>0</c:v>
              </c:pt>
            </c:numLit>
          </c:yVal>
          <c:smooth val="0"/>
          <c:extLst>
            <c:ext xmlns:c16="http://schemas.microsoft.com/office/drawing/2014/chart" uri="{C3380CC4-5D6E-409C-BE32-E72D297353CC}">
              <c16:uniqueId val="{000000F8-844E-4682-A2A9-16C8DE91A3A0}"/>
            </c:ext>
          </c:extLst>
        </c:ser>
        <c:ser>
          <c:idx val="193"/>
          <c:order val="193"/>
          <c:tx>
            <c:v>WB=12</c:v>
          </c:tx>
          <c:spPr>
            <a:ln w="3175">
              <a:solidFill>
                <a:srgbClr val="3366FF"/>
              </a:solidFill>
              <a:prstDash val="sysDash"/>
            </a:ln>
          </c:spPr>
          <c:marker>
            <c:symbol val="none"/>
          </c:marker>
          <c:dLbls>
            <c:dLbl>
              <c:idx val="0"/>
              <c:layout>
                <c:manualLayout>
                  <c:x val="-2.8038877952755906E-2"/>
                  <c:y val="-4.273504273504195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9-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11.124844702706268</c:v>
              </c:pt>
              <c:pt idx="1">
                <c:v>33.548547031795728</c:v>
              </c:pt>
            </c:numLit>
          </c:xVal>
          <c:yVal>
            <c:numLit>
              <c:formatCode>General</c:formatCode>
              <c:ptCount val="2"/>
              <c:pt idx="0">
                <c:v>8.7654941166616391E-3</c:v>
              </c:pt>
              <c:pt idx="1">
                <c:v>0</c:v>
              </c:pt>
            </c:numLit>
          </c:yVal>
          <c:smooth val="0"/>
          <c:extLst>
            <c:ext xmlns:c16="http://schemas.microsoft.com/office/drawing/2014/chart" uri="{C3380CC4-5D6E-409C-BE32-E72D297353CC}">
              <c16:uniqueId val="{000000FA-844E-4682-A2A9-16C8DE91A3A0}"/>
            </c:ext>
          </c:extLst>
        </c:ser>
        <c:ser>
          <c:idx val="194"/>
          <c:order val="194"/>
          <c:tx>
            <c:v>WB=13</c:v>
          </c:tx>
          <c:spPr>
            <a:ln w="3175">
              <a:solidFill>
                <a:srgbClr val="3366FF"/>
              </a:solidFill>
              <a:prstDash val="sysDash"/>
            </a:ln>
          </c:spPr>
          <c:marker>
            <c:symbol val="none"/>
          </c:marker>
          <c:dLbls>
            <c:dLbl>
              <c:idx val="0"/>
              <c:layout>
                <c:manualLayout>
                  <c:x val="-2.8038877952755906E-2"/>
                  <c:y val="-4.273504273504352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B-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12.08184163493789</c:v>
              </c:pt>
              <c:pt idx="1">
                <c:v>36.012282393767372</c:v>
              </c:pt>
            </c:numLit>
          </c:xVal>
          <c:yVal>
            <c:numLit>
              <c:formatCode>General</c:formatCode>
              <c:ptCount val="2"/>
              <c:pt idx="0">
                <c:v>9.3697232222812125E-3</c:v>
              </c:pt>
              <c:pt idx="1">
                <c:v>0</c:v>
              </c:pt>
            </c:numLit>
          </c:yVal>
          <c:smooth val="0"/>
          <c:extLst>
            <c:ext xmlns:c16="http://schemas.microsoft.com/office/drawing/2014/chart" uri="{C3380CC4-5D6E-409C-BE32-E72D297353CC}">
              <c16:uniqueId val="{000000FC-844E-4682-A2A9-16C8DE91A3A0}"/>
            </c:ext>
          </c:extLst>
        </c:ser>
        <c:ser>
          <c:idx val="195"/>
          <c:order val="195"/>
          <c:tx>
            <c:v>WB=14</c:v>
          </c:tx>
          <c:spPr>
            <a:ln w="3175">
              <a:solidFill>
                <a:srgbClr val="3366FF"/>
              </a:solidFill>
              <a:prstDash val="sysDash"/>
            </a:ln>
          </c:spPr>
          <c:marker>
            <c:symbol val="none"/>
          </c:marker>
          <c:dLbls>
            <c:dLbl>
              <c:idx val="0"/>
              <c:layout>
                <c:manualLayout>
                  <c:x val="-2.8038877952755968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13.037509931437153</c:v>
              </c:pt>
              <c:pt idx="1">
                <c:v>38.564155654290701</c:v>
              </c:pt>
            </c:numLit>
          </c:xVal>
          <c:yVal>
            <c:numLit>
              <c:formatCode>General</c:formatCode>
              <c:ptCount val="2"/>
              <c:pt idx="0">
                <c:v>1.0011011259038697E-2</c:v>
              </c:pt>
              <c:pt idx="1">
                <c:v>0</c:v>
              </c:pt>
            </c:numLit>
          </c:yVal>
          <c:smooth val="0"/>
          <c:extLst>
            <c:ext xmlns:c16="http://schemas.microsoft.com/office/drawing/2014/chart" uri="{C3380CC4-5D6E-409C-BE32-E72D297353CC}">
              <c16:uniqueId val="{000000FE-844E-4682-A2A9-16C8DE91A3A0}"/>
            </c:ext>
          </c:extLst>
        </c:ser>
        <c:ser>
          <c:idx val="196"/>
          <c:order val="196"/>
          <c:tx>
            <c:v>WB=15</c:v>
          </c:tx>
          <c:spPr>
            <a:ln w="3175">
              <a:solidFill>
                <a:srgbClr val="3366FF"/>
              </a:solidFill>
              <a:prstDash val="sysDash"/>
            </a:ln>
          </c:spPr>
          <c:marker>
            <c:symbol val="none"/>
          </c:marker>
          <c:dLbls>
            <c:dLbl>
              <c:idx val="0"/>
              <c:layout>
                <c:manualLayout>
                  <c:x val="-2.8038877952755968E-2"/>
                  <c:y val="-4.273504273504352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F-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13.991864616759251</c:v>
              </c:pt>
              <c:pt idx="1">
                <c:v>41.208863060972398</c:v>
              </c:pt>
            </c:numLit>
          </c:xVal>
          <c:yVal>
            <c:numLit>
              <c:formatCode>General</c:formatCode>
              <c:ptCount val="2"/>
              <c:pt idx="0">
                <c:v>1.0691378827115674E-2</c:v>
              </c:pt>
              <c:pt idx="1">
                <c:v>0</c:v>
              </c:pt>
            </c:numLit>
          </c:yVal>
          <c:smooth val="0"/>
          <c:extLst>
            <c:ext xmlns:c16="http://schemas.microsoft.com/office/drawing/2014/chart" uri="{C3380CC4-5D6E-409C-BE32-E72D297353CC}">
              <c16:uniqueId val="{00000100-844E-4682-A2A9-16C8DE91A3A0}"/>
            </c:ext>
          </c:extLst>
        </c:ser>
        <c:ser>
          <c:idx val="197"/>
          <c:order val="197"/>
          <c:tx>
            <c:v>WB=16</c:v>
          </c:tx>
          <c:spPr>
            <a:ln w="3175">
              <a:solidFill>
                <a:srgbClr val="3366FF"/>
              </a:solidFill>
              <a:prstDash val="sysDash"/>
            </a:ln>
          </c:spPr>
          <c:marker>
            <c:symbol val="none"/>
          </c:marker>
          <c:dLbls>
            <c:dLbl>
              <c:idx val="0"/>
              <c:layout>
                <c:manualLayout>
                  <c:x val="-2.8038877952755968E-2"/>
                  <c:y val="-4.273504273504352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14.944926260771588</c:v>
              </c:pt>
              <c:pt idx="1">
                <c:v>43.951331156248742</c:v>
              </c:pt>
            </c:numLit>
          </c:xVal>
          <c:yVal>
            <c:numLit>
              <c:formatCode>General</c:formatCode>
              <c:ptCount val="2"/>
              <c:pt idx="0">
                <c:v>1.1412948189933141E-2</c:v>
              </c:pt>
              <c:pt idx="1">
                <c:v>0</c:v>
              </c:pt>
            </c:numLit>
          </c:yVal>
          <c:smooth val="0"/>
          <c:extLst>
            <c:ext xmlns:c16="http://schemas.microsoft.com/office/drawing/2014/chart" uri="{C3380CC4-5D6E-409C-BE32-E72D297353CC}">
              <c16:uniqueId val="{00000102-844E-4682-A2A9-16C8DE91A3A0}"/>
            </c:ext>
          </c:extLst>
        </c:ser>
        <c:ser>
          <c:idx val="198"/>
          <c:order val="198"/>
          <c:tx>
            <c:v>WB=17</c:v>
          </c:tx>
          <c:spPr>
            <a:ln w="3175">
              <a:solidFill>
                <a:srgbClr val="3366FF"/>
              </a:solidFill>
              <a:prstDash val="sysDash"/>
            </a:ln>
          </c:spPr>
          <c:marker>
            <c:symbol val="none"/>
          </c:marker>
          <c:dLbls>
            <c:dLbl>
              <c:idx val="0"/>
              <c:layout>
                <c:manualLayout>
                  <c:x val="-2.8038877952755968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3-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15.896721427588924</c:v>
              </c:pt>
              <c:pt idx="1">
                <c:v>46.796728859883913</c:v>
              </c:pt>
            </c:numLit>
          </c:xVal>
          <c:yVal>
            <c:numLit>
              <c:formatCode>General</c:formatCode>
              <c:ptCount val="2"/>
              <c:pt idx="0">
                <c:v>1.2177948692621697E-2</c:v>
              </c:pt>
              <c:pt idx="1">
                <c:v>0</c:v>
              </c:pt>
            </c:numLit>
          </c:yVal>
          <c:smooth val="0"/>
          <c:extLst>
            <c:ext xmlns:c16="http://schemas.microsoft.com/office/drawing/2014/chart" uri="{C3380CC4-5D6E-409C-BE32-E72D297353CC}">
              <c16:uniqueId val="{00000104-844E-4682-A2A9-16C8DE91A3A0}"/>
            </c:ext>
          </c:extLst>
        </c:ser>
        <c:ser>
          <c:idx val="199"/>
          <c:order val="199"/>
          <c:tx>
            <c:v>WB=18</c:v>
          </c:tx>
          <c:spPr>
            <a:ln w="3175">
              <a:solidFill>
                <a:srgbClr val="3366FF"/>
              </a:solidFill>
              <a:prstDash val="sysDash"/>
            </a:ln>
          </c:spPr>
          <c:marker>
            <c:symbol val="none"/>
          </c:marker>
          <c:dLbls>
            <c:dLbl>
              <c:idx val="0"/>
              <c:layout>
                <c:manualLayout>
                  <c:x val="-2.8038877952755968E-2"/>
                  <c:y val="-4.273504273504195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5-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16.847283151194862</c:v>
              </c:pt>
              <c:pt idx="1">
                <c:v>49.750480396907207</c:v>
              </c:pt>
            </c:numLit>
          </c:xVal>
          <c:yVal>
            <c:numLit>
              <c:formatCode>General</c:formatCode>
              <c:ptCount val="2"/>
              <c:pt idx="0">
                <c:v>1.29887225571009E-2</c:v>
              </c:pt>
              <c:pt idx="1">
                <c:v>0</c:v>
              </c:pt>
            </c:numLit>
          </c:yVal>
          <c:smooth val="0"/>
          <c:extLst>
            <c:ext xmlns:c16="http://schemas.microsoft.com/office/drawing/2014/chart" uri="{C3380CC4-5D6E-409C-BE32-E72D297353CC}">
              <c16:uniqueId val="{00000106-844E-4682-A2A9-16C8DE91A3A0}"/>
            </c:ext>
          </c:extLst>
        </c:ser>
        <c:ser>
          <c:idx val="200"/>
          <c:order val="200"/>
          <c:tx>
            <c:v>WB=19</c:v>
          </c:tx>
          <c:spPr>
            <a:ln w="3175">
              <a:solidFill>
                <a:srgbClr val="3366FF"/>
              </a:solidFill>
              <a:prstDash val="sysDash"/>
            </a:ln>
          </c:spPr>
          <c:marker>
            <c:symbol val="none"/>
          </c:marker>
          <c:dLbls>
            <c:dLbl>
              <c:idx val="0"/>
              <c:layout>
                <c:manualLayout>
                  <c:x val="-2.8038877952755906E-2"/>
                  <c:y val="-4.273504273504352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7-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17.796651439648393</c:v>
              </c:pt>
              <c:pt idx="1">
                <c:v>52.81827914851516</c:v>
              </c:pt>
            </c:numLit>
          </c:xVal>
          <c:yVal>
            <c:numLit>
              <c:formatCode>General</c:formatCode>
              <c:ptCount val="2"/>
              <c:pt idx="0">
                <c:v>1.3847731088008679E-2</c:v>
              </c:pt>
              <c:pt idx="1">
                <c:v>0</c:v>
              </c:pt>
            </c:numLit>
          </c:yVal>
          <c:smooth val="0"/>
          <c:extLst>
            <c:ext xmlns:c16="http://schemas.microsoft.com/office/drawing/2014/chart" uri="{C3380CC4-5D6E-409C-BE32-E72D297353CC}">
              <c16:uniqueId val="{00000108-844E-4682-A2A9-16C8DE91A3A0}"/>
            </c:ext>
          </c:extLst>
        </c:ser>
        <c:ser>
          <c:idx val="201"/>
          <c:order val="201"/>
          <c:tx>
            <c:v>WB=20</c:v>
          </c:tx>
          <c:spPr>
            <a:ln w="3175">
              <a:solidFill>
                <a:srgbClr val="3366FF"/>
              </a:solidFill>
              <a:prstDash val="sysDash"/>
            </a:ln>
          </c:spPr>
          <c:marker>
            <c:symbol val="none"/>
          </c:marker>
          <c:dLbls>
            <c:dLbl>
              <c:idx val="0"/>
              <c:layout>
                <c:manualLayout>
                  <c:x val="-2.8038877952755906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9-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18.744873809981705</c:v>
              </c:pt>
              <c:pt idx="1">
                <c:v>56.006102511408436</c:v>
              </c:pt>
            </c:numLit>
          </c:xVal>
          <c:yVal>
            <c:numLit>
              <c:formatCode>General</c:formatCode>
              <c:ptCount val="2"/>
              <c:pt idx="0">
                <c:v>1.4757561327237089E-2</c:v>
              </c:pt>
              <c:pt idx="1">
                <c:v>0</c:v>
              </c:pt>
            </c:numLit>
          </c:yVal>
          <c:smooth val="0"/>
          <c:extLst>
            <c:ext xmlns:c16="http://schemas.microsoft.com/office/drawing/2014/chart" uri="{C3380CC4-5D6E-409C-BE32-E72D297353CC}">
              <c16:uniqueId val="{0000010A-844E-4682-A2A9-16C8DE91A3A0}"/>
            </c:ext>
          </c:extLst>
        </c:ser>
        <c:ser>
          <c:idx val="202"/>
          <c:order val="202"/>
          <c:tx>
            <c:v>WB=21</c:v>
          </c:tx>
          <c:spPr>
            <a:ln w="3175">
              <a:solidFill>
                <a:srgbClr val="3366FF"/>
              </a:solidFill>
              <a:prstDash val="sysDash"/>
            </a:ln>
          </c:spPr>
          <c:marker>
            <c:symbol val="none"/>
          </c:marker>
          <c:dLbls>
            <c:dLbl>
              <c:idx val="0"/>
              <c:layout>
                <c:manualLayout>
                  <c:x val="-2.8038877952755968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B-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19.692005856128276</c:v>
              </c:pt>
              <c:pt idx="1">
                <c:v>59.320227859876105</c:v>
              </c:pt>
            </c:numLit>
          </c:xVal>
          <c:yVal>
            <c:numLit>
              <c:formatCode>General</c:formatCode>
              <c:ptCount val="2"/>
              <c:pt idx="0">
                <c:v>1.5720933198745006E-2</c:v>
              </c:pt>
              <c:pt idx="1">
                <c:v>0</c:v>
              </c:pt>
            </c:numLit>
          </c:yVal>
          <c:smooth val="0"/>
          <c:extLst>
            <c:ext xmlns:c16="http://schemas.microsoft.com/office/drawing/2014/chart" uri="{C3380CC4-5D6E-409C-BE32-E72D297353CC}">
              <c16:uniqueId val="{0000010C-844E-4682-A2A9-16C8DE91A3A0}"/>
            </c:ext>
          </c:extLst>
        </c:ser>
        <c:ser>
          <c:idx val="203"/>
          <c:order val="203"/>
          <c:tx>
            <c:v>WB=22</c:v>
          </c:tx>
          <c:spPr>
            <a:ln w="3175">
              <a:solidFill>
                <a:srgbClr val="3366FF"/>
              </a:solidFill>
              <a:prstDash val="sysDash"/>
            </a:ln>
          </c:spPr>
          <c:marker>
            <c:symbol val="none"/>
          </c:marker>
          <c:dLbls>
            <c:dLbl>
              <c:idx val="0"/>
              <c:layout>
                <c:manualLayout>
                  <c:x val="-2.8038877952755906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20.638111852482123</c:v>
              </c:pt>
              <c:pt idx="1">
                <c:v>62.767249714777925</c:v>
              </c:pt>
            </c:numLit>
          </c:xVal>
          <c:yVal>
            <c:numLit>
              <c:formatCode>General</c:formatCode>
              <c:ptCount val="2"/>
              <c:pt idx="0">
                <c:v>1.6740707189674783E-2</c:v>
              </c:pt>
              <c:pt idx="1">
                <c:v>0</c:v>
              </c:pt>
            </c:numLit>
          </c:yVal>
          <c:smooth val="0"/>
          <c:extLst>
            <c:ext xmlns:c16="http://schemas.microsoft.com/office/drawing/2014/chart" uri="{C3380CC4-5D6E-409C-BE32-E72D297353CC}">
              <c16:uniqueId val="{0000010E-844E-4682-A2A9-16C8DE91A3A0}"/>
            </c:ext>
          </c:extLst>
        </c:ser>
        <c:ser>
          <c:idx val="204"/>
          <c:order val="204"/>
          <c:tx>
            <c:v>WB=23</c:v>
          </c:tx>
          <c:spPr>
            <a:ln w="3175">
              <a:solidFill>
                <a:srgbClr val="3366FF"/>
              </a:solidFill>
              <a:prstDash val="sysDash"/>
            </a:ln>
          </c:spPr>
          <c:marker>
            <c:symbol val="none"/>
          </c:marker>
          <c:dLbls>
            <c:dLbl>
              <c:idx val="0"/>
              <c:layout>
                <c:manualLayout>
                  <c:x val="-2.8038877952755968E-2"/>
                  <c:y val="-4.273504273504352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F-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21.583265395983357</c:v>
              </c:pt>
              <c:pt idx="1">
                <c:v>66</c:v>
              </c:pt>
            </c:numLit>
          </c:xVal>
          <c:yVal>
            <c:numLit>
              <c:formatCode>General</c:formatCode>
              <c:ptCount val="2"/>
              <c:pt idx="0">
                <c:v>1.7819892618663919E-2</c:v>
              </c:pt>
              <c:pt idx="1">
                <c:v>1.4093980648138314E-4</c:v>
              </c:pt>
            </c:numLit>
          </c:yVal>
          <c:smooth val="0"/>
          <c:extLst>
            <c:ext xmlns:c16="http://schemas.microsoft.com/office/drawing/2014/chart" uri="{C3380CC4-5D6E-409C-BE32-E72D297353CC}">
              <c16:uniqueId val="{00000110-844E-4682-A2A9-16C8DE91A3A0}"/>
            </c:ext>
          </c:extLst>
        </c:ser>
        <c:ser>
          <c:idx val="205"/>
          <c:order val="205"/>
          <c:tx>
            <c:v>WB=24</c:v>
          </c:tx>
          <c:spPr>
            <a:ln w="3175">
              <a:solidFill>
                <a:srgbClr val="3366FF"/>
              </a:solidFill>
              <a:prstDash val="sysDash"/>
            </a:ln>
          </c:spPr>
          <c:marker>
            <c:symbol val="none"/>
          </c:marker>
          <c:dLbls>
            <c:dLbl>
              <c:idx val="0"/>
              <c:layout>
                <c:manualLayout>
                  <c:x val="-2.8038877952755906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22.527550089956225</c:v>
              </c:pt>
              <c:pt idx="1">
                <c:v>66</c:v>
              </c:pt>
            </c:numLit>
          </c:xVal>
          <c:yVal>
            <c:numLit>
              <c:formatCode>General</c:formatCode>
              <c:ptCount val="2"/>
              <c:pt idx="0">
                <c:v>1.8961656547670749E-2</c:v>
              </c:pt>
              <c:pt idx="1">
                <c:v>1.6298474339147577E-3</c:v>
              </c:pt>
            </c:numLit>
          </c:yVal>
          <c:smooth val="0"/>
          <c:extLst>
            <c:ext xmlns:c16="http://schemas.microsoft.com/office/drawing/2014/chart" uri="{C3380CC4-5D6E-409C-BE32-E72D297353CC}">
              <c16:uniqueId val="{00000112-844E-4682-A2A9-16C8DE91A3A0}"/>
            </c:ext>
          </c:extLst>
        </c:ser>
        <c:ser>
          <c:idx val="206"/>
          <c:order val="206"/>
          <c:tx>
            <c:v>WB=25</c:v>
          </c:tx>
          <c:spPr>
            <a:ln w="3175">
              <a:solidFill>
                <a:srgbClr val="3366FF"/>
              </a:solidFill>
              <a:prstDash val="sysDash"/>
            </a:ln>
          </c:spPr>
          <c:marker>
            <c:symbol val="none"/>
          </c:marker>
          <c:dLbls>
            <c:dLbl>
              <c:idx val="0"/>
              <c:layout>
                <c:manualLayout>
                  <c:x val="-2.8038877952755906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3-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23.471060273298296</c:v>
              </c:pt>
              <c:pt idx="1">
                <c:v>66</c:v>
              </c:pt>
            </c:numLit>
          </c:xVal>
          <c:yVal>
            <c:numLit>
              <c:formatCode>General</c:formatCode>
              <c:ptCount val="2"/>
              <c:pt idx="0">
                <c:v>2.0169333399710391E-2</c:v>
              </c:pt>
              <c:pt idx="1">
                <c:v>3.1855123815484549E-3</c:v>
              </c:pt>
            </c:numLit>
          </c:yVal>
          <c:smooth val="0"/>
          <c:extLst>
            <c:ext xmlns:c16="http://schemas.microsoft.com/office/drawing/2014/chart" uri="{C3380CC4-5D6E-409C-BE32-E72D297353CC}">
              <c16:uniqueId val="{00000114-844E-4682-A2A9-16C8DE91A3A0}"/>
            </c:ext>
          </c:extLst>
        </c:ser>
        <c:ser>
          <c:idx val="207"/>
          <c:order val="207"/>
          <c:tx>
            <c:v>WB=26</c:v>
          </c:tx>
          <c:spPr>
            <a:ln w="3175">
              <a:solidFill>
                <a:srgbClr val="3366FF"/>
              </a:solidFill>
              <a:prstDash val="sysDash"/>
            </a:ln>
          </c:spPr>
          <c:marker>
            <c:symbol val="none"/>
          </c:marker>
          <c:dLbls>
            <c:dLbl>
              <c:idx val="0"/>
              <c:layout>
                <c:manualLayout>
                  <c:x val="-2.8038877952755906E-2"/>
                  <c:y val="-4.273504273504313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5-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24.413869121150924</c:v>
              </c:pt>
              <c:pt idx="1">
                <c:v>66</c:v>
              </c:pt>
            </c:numLit>
          </c:xVal>
          <c:yVal>
            <c:numLit>
              <c:formatCode>General</c:formatCode>
              <c:ptCount val="2"/>
              <c:pt idx="0">
                <c:v>2.1446877205943158E-2</c:v>
              </c:pt>
              <c:pt idx="1">
                <c:v>4.8119221678894547E-3</c:v>
              </c:pt>
            </c:numLit>
          </c:yVal>
          <c:smooth val="0"/>
          <c:extLst>
            <c:ext xmlns:c16="http://schemas.microsoft.com/office/drawing/2014/chart" uri="{C3380CC4-5D6E-409C-BE32-E72D297353CC}">
              <c16:uniqueId val="{00000116-844E-4682-A2A9-16C8DE91A3A0}"/>
            </c:ext>
          </c:extLst>
        </c:ser>
        <c:ser>
          <c:idx val="208"/>
          <c:order val="208"/>
          <c:tx>
            <c:v>湿球温度座標軸ラベル</c:v>
          </c:tx>
          <c:spPr>
            <a:ln w="3175">
              <a:solidFill>
                <a:srgbClr val="000000"/>
              </a:solidFill>
              <a:prstDash val="solid"/>
            </a:ln>
          </c:spPr>
          <c:marker>
            <c:symbol val="none"/>
          </c:marker>
          <c:dLbls>
            <c:dLbl>
              <c:idx val="0"/>
              <c:layout>
                <c:manualLayout>
                  <c:x val="-6.9832403762029746E-2"/>
                  <c:y val="0"/>
                </c:manualLayout>
              </c:layout>
              <c:tx>
                <c:rich>
                  <a:bodyPr rot="20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湿球温度 </a:t>
                    </a:r>
                    <a:r>
                      <a:rPr lang="en-US"/>
                      <a:t>t' [℃]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7-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56.780084041905774</c:v>
              </c:pt>
            </c:numLit>
          </c:xVal>
          <c:yVal>
            <c:numLit>
              <c:formatCode>General</c:formatCode>
              <c:ptCount val="1"/>
              <c:pt idx="0">
                <c:v>8.5000000000000006E-3</c:v>
              </c:pt>
            </c:numLit>
          </c:yVal>
          <c:smooth val="0"/>
          <c:extLst>
            <c:ext xmlns:c16="http://schemas.microsoft.com/office/drawing/2014/chart" uri="{C3380CC4-5D6E-409C-BE32-E72D297353CC}">
              <c16:uniqueId val="{00000118-844E-4682-A2A9-16C8DE91A3A0}"/>
            </c:ext>
          </c:extLst>
        </c:ser>
        <c:ser>
          <c:idx val="209"/>
          <c:order val="209"/>
          <c:tx>
            <c:v>WB=27</c:v>
          </c:tx>
          <c:spPr>
            <a:ln w="3175">
              <a:solidFill>
                <a:srgbClr val="3366FF"/>
              </a:solidFill>
              <a:prstDash val="sysDash"/>
            </a:ln>
          </c:spPr>
          <c:marker>
            <c:symbol val="none"/>
          </c:marker>
          <c:dLbls>
            <c:dLbl>
              <c:idx val="0"/>
              <c:layout>
                <c:manualLayout>
                  <c:x val="-2.8038877952755968E-2"/>
                  <c:y val="-4.273504273504234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9-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25.356124992223805</c:v>
              </c:pt>
              <c:pt idx="1">
                <c:v>66</c:v>
              </c:pt>
            </c:numLit>
          </c:xVal>
          <c:yVal>
            <c:numLit>
              <c:formatCode>General</c:formatCode>
              <c:ptCount val="2"/>
              <c:pt idx="0">
                <c:v>2.2797604877624097E-2</c:v>
              </c:pt>
              <c:pt idx="1">
                <c:v>6.5124575393423444E-3</c:v>
              </c:pt>
            </c:numLit>
          </c:yVal>
          <c:smooth val="0"/>
          <c:extLst>
            <c:ext xmlns:c16="http://schemas.microsoft.com/office/drawing/2014/chart" uri="{C3380CC4-5D6E-409C-BE32-E72D297353CC}">
              <c16:uniqueId val="{0000011A-844E-4682-A2A9-16C8DE91A3A0}"/>
            </c:ext>
          </c:extLst>
        </c:ser>
        <c:ser>
          <c:idx val="210"/>
          <c:order val="210"/>
          <c:tx>
            <c:v>WB=28</c:v>
          </c:tx>
          <c:spPr>
            <a:ln w="3175">
              <a:solidFill>
                <a:srgbClr val="3366FF"/>
              </a:solidFill>
              <a:prstDash val="sysDash"/>
            </a:ln>
          </c:spPr>
          <c:marker>
            <c:symbol val="none"/>
          </c:marker>
          <c:dLbls>
            <c:dLbl>
              <c:idx val="0"/>
              <c:layout>
                <c:manualLayout>
                  <c:x val="-2.8038877952755906E-2"/>
                  <c:y val="-4.2735042735042739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B-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26.297959270515559</c:v>
              </c:pt>
              <c:pt idx="1">
                <c:v>66</c:v>
              </c:pt>
            </c:numLit>
          </c:xVal>
          <c:yVal>
            <c:numLit>
              <c:formatCode>General</c:formatCode>
              <c:ptCount val="2"/>
              <c:pt idx="0">
                <c:v>2.4225424078400493E-2</c:v>
              </c:pt>
              <c:pt idx="1">
                <c:v>8.2910836083598376E-3</c:v>
              </c:pt>
            </c:numLit>
          </c:yVal>
          <c:smooth val="0"/>
          <c:extLst>
            <c:ext xmlns:c16="http://schemas.microsoft.com/office/drawing/2014/chart" uri="{C3380CC4-5D6E-409C-BE32-E72D297353CC}">
              <c16:uniqueId val="{0000011C-844E-4682-A2A9-16C8DE91A3A0}"/>
            </c:ext>
          </c:extLst>
        </c:ser>
        <c:ser>
          <c:idx val="211"/>
          <c:order val="211"/>
          <c:tx>
            <c:v>WB=29</c:v>
          </c:tx>
          <c:spPr>
            <a:ln w="3175">
              <a:solidFill>
                <a:srgbClr val="3366FF"/>
              </a:solidFill>
              <a:prstDash val="sysDash"/>
            </a:ln>
          </c:spPr>
          <c:marker>
            <c:symbol val="none"/>
          </c:marker>
          <c:dLbls>
            <c:dLbl>
              <c:idx val="0"/>
              <c:layout>
                <c:manualLayout>
                  <c:x val="-2.8038877952755906E-2"/>
                  <c:y val="-4.273504273504313E-3"/>
                </c:manualLayout>
              </c:layout>
              <c:tx>
                <c:rich>
                  <a:bodyPr rot="-33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27.239517542895342</c:v>
              </c:pt>
              <c:pt idx="1">
                <c:v>65.999999999999986</c:v>
              </c:pt>
            </c:numLit>
          </c:xVal>
          <c:yVal>
            <c:numLit>
              <c:formatCode>General</c:formatCode>
              <c:ptCount val="2"/>
              <c:pt idx="0">
                <c:v>2.5734457306702815E-2</c:v>
              </c:pt>
              <c:pt idx="1">
                <c:v>1.0151986416414469E-2</c:v>
              </c:pt>
            </c:numLit>
          </c:yVal>
          <c:smooth val="0"/>
          <c:extLst>
            <c:ext xmlns:c16="http://schemas.microsoft.com/office/drawing/2014/chart" uri="{C3380CC4-5D6E-409C-BE32-E72D297353CC}">
              <c16:uniqueId val="{0000011E-844E-4682-A2A9-16C8DE91A3A0}"/>
            </c:ext>
          </c:extLst>
        </c:ser>
        <c:ser>
          <c:idx val="212"/>
          <c:order val="212"/>
          <c:tx>
            <c:v>WB=30</c:v>
          </c:tx>
          <c:spPr>
            <a:ln w="3175">
              <a:solidFill>
                <a:srgbClr val="3366FF"/>
              </a:solidFill>
              <a:prstDash val="sysDash"/>
            </a:ln>
          </c:spPr>
          <c:marker>
            <c:symbol val="none"/>
          </c:marker>
          <c:dLbls>
            <c:dLbl>
              <c:idx val="0"/>
              <c:layout>
                <c:manualLayout>
                  <c:x val="-2.8097386264217036E-2"/>
                  <c:y val="-4.2735042735042739E-3"/>
                </c:manualLayout>
              </c:layout>
              <c:tx>
                <c:rich>
                  <a:bodyPr rot="-33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F-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28.180960627210379</c:v>
              </c:pt>
              <c:pt idx="1">
                <c:v>66</c:v>
              </c:pt>
            </c:numLit>
          </c:xVal>
          <c:yVal>
            <c:numLit>
              <c:formatCode>General</c:formatCode>
              <c:ptCount val="2"/>
              <c:pt idx="0">
                <c:v>2.73290562877294E-2</c:v>
              </c:pt>
              <c:pt idx="1">
                <c:v>1.2099587791053275E-2</c:v>
              </c:pt>
            </c:numLit>
          </c:yVal>
          <c:smooth val="0"/>
          <c:extLst>
            <c:ext xmlns:c16="http://schemas.microsoft.com/office/drawing/2014/chart" uri="{C3380CC4-5D6E-409C-BE32-E72D297353CC}">
              <c16:uniqueId val="{00000120-844E-4682-A2A9-16C8DE91A3A0}"/>
            </c:ext>
          </c:extLst>
        </c:ser>
        <c:ser>
          <c:idx val="213"/>
          <c:order val="213"/>
          <c:tx>
            <c:v>WB=31</c:v>
          </c:tx>
          <c:spPr>
            <a:ln w="3175">
              <a:solidFill>
                <a:srgbClr val="3366FF"/>
              </a:solidFill>
              <a:prstDash val="sysDash"/>
            </a:ln>
          </c:spPr>
          <c:marker>
            <c:symbol val="none"/>
          </c:marker>
          <c:dLbls>
            <c:dLbl>
              <c:idx val="0"/>
              <c:layout>
                <c:manualLayout>
                  <c:x val="-2.8097386264216973E-2"/>
                  <c:y val="-4.273504273504293E-3"/>
                </c:manualLayout>
              </c:layout>
              <c:tx>
                <c:rich>
                  <a:bodyPr rot="-33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1-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29.122465678454695</c:v>
              </c:pt>
              <c:pt idx="1">
                <c:v>66</c:v>
              </c:pt>
            </c:numLit>
          </c:xVal>
          <c:yVal>
            <c:numLit>
              <c:formatCode>General</c:formatCode>
              <c:ptCount val="2"/>
              <c:pt idx="0">
                <c:v>2.9013817626337573E-2</c:v>
              </c:pt>
              <c:pt idx="1">
                <c:v>1.41385615000299E-2</c:v>
              </c:pt>
            </c:numLit>
          </c:yVal>
          <c:smooth val="0"/>
          <c:extLst>
            <c:ext xmlns:c16="http://schemas.microsoft.com/office/drawing/2014/chart" uri="{C3380CC4-5D6E-409C-BE32-E72D297353CC}">
              <c16:uniqueId val="{00000122-844E-4682-A2A9-16C8DE91A3A0}"/>
            </c:ext>
          </c:extLst>
        </c:ser>
        <c:ser>
          <c:idx val="214"/>
          <c:order val="214"/>
          <c:tx>
            <c:v>WB=32</c:v>
          </c:tx>
          <c:spPr>
            <a:ln w="3175">
              <a:solidFill>
                <a:srgbClr val="3366FF"/>
              </a:solidFill>
              <a:prstDash val="sysDash"/>
            </a:ln>
          </c:spPr>
          <c:marker>
            <c:symbol val="none"/>
          </c:marker>
          <c:dLbls>
            <c:dLbl>
              <c:idx val="0"/>
              <c:layout>
                <c:manualLayout>
                  <c:x val="-2.8097386264217036E-2"/>
                  <c:y val="-4.2735042735042739E-3"/>
                </c:manualLayout>
              </c:layout>
              <c:tx>
                <c:rich>
                  <a:bodyPr rot="-33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3-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30.064227380971293</c:v>
              </c:pt>
              <c:pt idx="1">
                <c:v>65.999999999999986</c:v>
              </c:pt>
            </c:numLit>
          </c:xVal>
          <c:yVal>
            <c:numLit>
              <c:formatCode>General</c:formatCode>
              <c:ptCount val="2"/>
              <c:pt idx="0">
                <c:v>3.0793599853619184E-2</c:v>
              </c:pt>
              <c:pt idx="1">
                <c:v>1.6273850838938984E-2</c:v>
              </c:pt>
            </c:numLit>
          </c:yVal>
          <c:smooth val="0"/>
          <c:extLst>
            <c:ext xmlns:c16="http://schemas.microsoft.com/office/drawing/2014/chart" uri="{C3380CC4-5D6E-409C-BE32-E72D297353CC}">
              <c16:uniqueId val="{00000124-844E-4682-A2A9-16C8DE91A3A0}"/>
            </c:ext>
          </c:extLst>
        </c:ser>
        <c:ser>
          <c:idx val="215"/>
          <c:order val="215"/>
          <c:tx>
            <c:v>WB=33</c:v>
          </c:tx>
          <c:spPr>
            <a:ln w="3175">
              <a:solidFill>
                <a:srgbClr val="3366FF"/>
              </a:solidFill>
              <a:prstDash val="sysDash"/>
            </a:ln>
          </c:spPr>
          <c:marker>
            <c:symbol val="none"/>
          </c:marker>
          <c:dLbls>
            <c:dLbl>
              <c:idx val="0"/>
              <c:layout>
                <c:manualLayout>
                  <c:x val="-2.8097386264217036E-2"/>
                  <c:y val="-4.2735042735042739E-3"/>
                </c:manualLayout>
              </c:layout>
              <c:tx>
                <c:rich>
                  <a:bodyPr rot="-33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5-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31.006459235654933</c:v>
              </c:pt>
              <c:pt idx="1">
                <c:v>66</c:v>
              </c:pt>
            </c:numLit>
          </c:xVal>
          <c:yVal>
            <c:numLit>
              <c:formatCode>General</c:formatCode>
              <c:ptCount val="2"/>
              <c:pt idx="0">
                <c:v>3.2673542015821677E-2</c:v>
              </c:pt>
              <c:pt idx="1">
                <c:v>1.8510687805112593E-2</c:v>
              </c:pt>
            </c:numLit>
          </c:yVal>
          <c:smooth val="0"/>
          <c:extLst>
            <c:ext xmlns:c16="http://schemas.microsoft.com/office/drawing/2014/chart" uri="{C3380CC4-5D6E-409C-BE32-E72D297353CC}">
              <c16:uniqueId val="{00000126-844E-4682-A2A9-16C8DE91A3A0}"/>
            </c:ext>
          </c:extLst>
        </c:ser>
        <c:ser>
          <c:idx val="216"/>
          <c:order val="216"/>
          <c:tx>
            <c:v>WB=34</c:v>
          </c:tx>
          <c:spPr>
            <a:ln w="3175">
              <a:solidFill>
                <a:srgbClr val="3366FF"/>
              </a:solidFill>
              <a:prstDash val="sysDash"/>
            </a:ln>
          </c:spPr>
          <c:marker>
            <c:symbol val="none"/>
          </c:marker>
          <c:xVal>
            <c:numLit>
              <c:formatCode>General</c:formatCode>
              <c:ptCount val="2"/>
              <c:pt idx="0">
                <c:v>31.949394952253815</c:v>
              </c:pt>
              <c:pt idx="1">
                <c:v>66</c:v>
              </c:pt>
            </c:numLit>
          </c:xVal>
          <c:yVal>
            <c:numLit>
              <c:formatCode>General</c:formatCode>
              <c:ptCount val="2"/>
              <c:pt idx="0">
                <c:v>3.4659083972322924E-2</c:v>
              </c:pt>
              <c:pt idx="1">
                <c:v>2.0854614029099459E-2</c:v>
              </c:pt>
            </c:numLit>
          </c:yVal>
          <c:smooth val="0"/>
          <c:extLst>
            <c:ext xmlns:c16="http://schemas.microsoft.com/office/drawing/2014/chart" uri="{C3380CC4-5D6E-409C-BE32-E72D297353CC}">
              <c16:uniqueId val="{00000127-844E-4682-A2A9-16C8DE91A3A0}"/>
            </c:ext>
          </c:extLst>
        </c:ser>
        <c:ser>
          <c:idx val="217"/>
          <c:order val="217"/>
          <c:tx>
            <c:v>WB=35</c:v>
          </c:tx>
          <c:spPr>
            <a:ln w="3175">
              <a:solidFill>
                <a:srgbClr val="3366FF"/>
              </a:solidFill>
              <a:prstDash val="sysDash"/>
            </a:ln>
          </c:spPr>
          <c:marker>
            <c:symbol val="none"/>
          </c:marker>
          <c:xVal>
            <c:numLit>
              <c:formatCode>General</c:formatCode>
              <c:ptCount val="2"/>
              <c:pt idx="0">
                <c:v>32.893289958156551</c:v>
              </c:pt>
              <c:pt idx="1">
                <c:v>66</c:v>
              </c:pt>
            </c:numLit>
          </c:xVal>
          <c:yVal>
            <c:numLit>
              <c:formatCode>General</c:formatCode>
              <c:ptCount val="2"/>
              <c:pt idx="0">
                <c:v>3.6755988589915189E-2</c:v>
              </c:pt>
              <c:pt idx="1">
                <c:v>2.3311503656180399E-2</c:v>
              </c:pt>
            </c:numLit>
          </c:yVal>
          <c:smooth val="0"/>
          <c:extLst>
            <c:ext xmlns:c16="http://schemas.microsoft.com/office/drawing/2014/chart" uri="{C3380CC4-5D6E-409C-BE32-E72D297353CC}">
              <c16:uniqueId val="{00000128-844E-4682-A2A9-16C8DE91A3A0}"/>
            </c:ext>
          </c:extLst>
        </c:ser>
        <c:ser>
          <c:idx val="218"/>
          <c:order val="218"/>
          <c:tx>
            <c:v>WB=36</c:v>
          </c:tx>
          <c:spPr>
            <a:ln w="3175">
              <a:solidFill>
                <a:srgbClr val="3366FF"/>
              </a:solidFill>
              <a:prstDash val="sysDash"/>
            </a:ln>
          </c:spPr>
          <c:marker>
            <c:symbol val="none"/>
          </c:marker>
          <c:xVal>
            <c:numLit>
              <c:formatCode>General</c:formatCode>
              <c:ptCount val="2"/>
              <c:pt idx="0">
                <c:v>33.838423036521256</c:v>
              </c:pt>
              <c:pt idx="1">
                <c:v>66</c:v>
              </c:pt>
            </c:numLit>
          </c:xVal>
          <c:yVal>
            <c:numLit>
              <c:formatCode>General</c:formatCode>
              <c:ptCount val="2"/>
              <c:pt idx="0">
                <c:v>3.8970366044079129E-2</c:v>
              </c:pt>
              <c:pt idx="1">
                <c:v>2.5887588394467306E-2</c:v>
              </c:pt>
            </c:numLit>
          </c:yVal>
          <c:smooth val="0"/>
          <c:extLst>
            <c:ext xmlns:c16="http://schemas.microsoft.com/office/drawing/2014/chart" uri="{C3380CC4-5D6E-409C-BE32-E72D297353CC}">
              <c16:uniqueId val="{00000129-844E-4682-A2A9-16C8DE91A3A0}"/>
            </c:ext>
          </c:extLst>
        </c:ser>
        <c:ser>
          <c:idx val="219"/>
          <c:order val="219"/>
          <c:tx>
            <c:v>WB=37</c:v>
          </c:tx>
          <c:spPr>
            <a:ln w="3175">
              <a:solidFill>
                <a:srgbClr val="3366FF"/>
              </a:solidFill>
              <a:prstDash val="sysDash"/>
            </a:ln>
          </c:spPr>
          <c:marker>
            <c:symbol val="none"/>
          </c:marker>
          <c:xVal>
            <c:numLit>
              <c:formatCode>General</c:formatCode>
              <c:ptCount val="2"/>
              <c:pt idx="0">
                <c:v>34.785098108283535</c:v>
              </c:pt>
              <c:pt idx="1">
                <c:v>66</c:v>
              </c:pt>
            </c:numLit>
          </c:xVal>
          <c:yVal>
            <c:numLit>
              <c:formatCode>General</c:formatCode>
              <c:ptCount val="2"/>
              <c:pt idx="0">
                <c:v>4.1308700464715679E-2</c:v>
              </c:pt>
              <c:pt idx="1">
                <c:v>2.8589484973684222E-2</c:v>
              </c:pt>
            </c:numLit>
          </c:yVal>
          <c:smooth val="0"/>
          <c:extLst>
            <c:ext xmlns:c16="http://schemas.microsoft.com/office/drawing/2014/chart" uri="{C3380CC4-5D6E-409C-BE32-E72D297353CC}">
              <c16:uniqueId val="{0000012A-844E-4682-A2A9-16C8DE91A3A0}"/>
            </c:ext>
          </c:extLst>
        </c:ser>
        <c:ser>
          <c:idx val="220"/>
          <c:order val="220"/>
          <c:tx>
            <c:v>WB=38</c:v>
          </c:tx>
          <c:spPr>
            <a:ln w="3175">
              <a:solidFill>
                <a:srgbClr val="3366FF"/>
              </a:solidFill>
              <a:prstDash val="sysDash"/>
            </a:ln>
          </c:spPr>
          <c:marker>
            <c:symbol val="none"/>
          </c:marker>
          <c:xVal>
            <c:numLit>
              <c:formatCode>General</c:formatCode>
              <c:ptCount val="2"/>
              <c:pt idx="0">
                <c:v>35.733646174504585</c:v>
              </c:pt>
              <c:pt idx="1">
                <c:v>66</c:v>
              </c:pt>
            </c:numLit>
          </c:xVal>
          <c:yVal>
            <c:numLit>
              <c:formatCode>General</c:formatCode>
              <c:ptCount val="2"/>
              <c:pt idx="0">
                <c:v>4.3777879194477488E-2</c:v>
              </c:pt>
              <c:pt idx="1">
                <c:v>3.142422529027835E-2</c:v>
              </c:pt>
            </c:numLit>
          </c:yVal>
          <c:smooth val="0"/>
          <c:extLst>
            <c:ext xmlns:c16="http://schemas.microsoft.com/office/drawing/2014/chart" uri="{C3380CC4-5D6E-409C-BE32-E72D297353CC}">
              <c16:uniqueId val="{0000012B-844E-4682-A2A9-16C8DE91A3A0}"/>
            </c:ext>
          </c:extLst>
        </c:ser>
        <c:ser>
          <c:idx val="221"/>
          <c:order val="221"/>
          <c:tx>
            <c:v>WB=</c:v>
          </c:tx>
          <c:spPr>
            <a:ln w="3175">
              <a:solidFill>
                <a:srgbClr val="3366FF"/>
              </a:solidFill>
              <a:prstDash val="sysDash"/>
            </a:ln>
          </c:spPr>
          <c:marker>
            <c:symbol val="none"/>
          </c:marker>
          <c:xVal>
            <c:numLit>
              <c:formatCode>General</c:formatCode>
              <c:ptCount val="2"/>
              <c:pt idx="0">
                <c:v>-0.45273744734692239</c:v>
              </c:pt>
              <c:pt idx="1">
                <c:v>9.4387305875737741</c:v>
              </c:pt>
            </c:numLit>
          </c:xVal>
          <c:yVal>
            <c:numLit>
              <c:formatCode>General</c:formatCode>
              <c:ptCount val="2"/>
              <c:pt idx="0">
                <c:v>3.7926394193890894E-3</c:v>
              </c:pt>
              <c:pt idx="1">
                <c:v>0</c:v>
              </c:pt>
            </c:numLit>
          </c:yVal>
          <c:smooth val="0"/>
          <c:extLst>
            <c:ext xmlns:c16="http://schemas.microsoft.com/office/drawing/2014/chart" uri="{C3380CC4-5D6E-409C-BE32-E72D297353CC}">
              <c16:uniqueId val="{0000012C-844E-4682-A2A9-16C8DE91A3A0}"/>
            </c:ext>
          </c:extLst>
        </c:ser>
        <c:ser>
          <c:idx val="222"/>
          <c:order val="222"/>
          <c:tx>
            <c:v>３重点（水）</c:v>
          </c:tx>
          <c:spPr>
            <a:ln w="3175">
              <a:solidFill>
                <a:srgbClr val="000000"/>
              </a:solidFill>
              <a:prstDash val="solid"/>
            </a:ln>
          </c:spPr>
          <c:marker>
            <c:symbol val="none"/>
          </c:marker>
          <c:dLbls>
            <c:dLbl>
              <c:idx val="0"/>
              <c:layout>
                <c:manualLayout>
                  <c:x val="-6.4039260717410354E-2"/>
                  <c:y val="-1.5669334656024605E-16"/>
                </c:manualLayout>
              </c:layout>
              <c:tx>
                <c:rich>
                  <a:bodyPr rot="1980000" vertOverflow="overflow" horzOverflow="overflow" vert="horz" wrap="none" lIns="0" tIns="0" rIns="0" bIns="0" anchor="ctr">
                    <a:spAutoFit/>
                  </a:bodyPr>
                  <a:lstStyle/>
                  <a:p>
                    <a:pPr algn="ctr">
                      <a:defRPr altLang="ja-JP" sz="500" b="0" i="1">
                        <a:solidFill>
                          <a:srgbClr val="000000"/>
                        </a:solidFill>
                        <a:latin typeface="ＭＳ Ｐ明朝"/>
                        <a:ea typeface="ＭＳ Ｐ明朝"/>
                        <a:cs typeface="ＭＳ Ｐ明朝"/>
                      </a:defRPr>
                    </a:pPr>
                    <a:r>
                      <a:rPr lang="en-US" altLang="ja-JP"/>
                      <a:t>0.01[℃](</a:t>
                    </a:r>
                    <a:r>
                      <a:rPr lang="ja-JP" altLang="en-US"/>
                      <a:t>水</a:t>
                    </a:r>
                    <a:r>
                      <a:rPr lang="en-US" altLang="ja-JP"/>
                      <a:t>)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D-844E-4682-A2A9-16C8DE91A3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8.3955026989057835</c:v>
              </c:pt>
            </c:numLit>
          </c:xVal>
          <c:yVal>
            <c:numLit>
              <c:formatCode>General</c:formatCode>
              <c:ptCount val="1"/>
              <c:pt idx="0">
                <c:v>4.0000000000000002E-4</c:v>
              </c:pt>
            </c:numLit>
          </c:yVal>
          <c:smooth val="0"/>
          <c:extLst>
            <c:ext xmlns:c16="http://schemas.microsoft.com/office/drawing/2014/chart" uri="{C3380CC4-5D6E-409C-BE32-E72D297353CC}">
              <c16:uniqueId val="{0000012E-844E-4682-A2A9-16C8DE91A3A0}"/>
            </c:ext>
          </c:extLst>
        </c:ser>
        <c:dLbls>
          <c:showLegendKey val="0"/>
          <c:showVal val="0"/>
          <c:showCatName val="0"/>
          <c:showSerName val="0"/>
          <c:showPercent val="0"/>
          <c:showBubbleSize val="0"/>
        </c:dLbls>
        <c:axId val="358253584"/>
        <c:axId val="358251624"/>
      </c:scatterChart>
      <c:valAx>
        <c:axId val="358253584"/>
        <c:scaling>
          <c:orientation val="minMax"/>
          <c:max val="66.8"/>
          <c:min val="-10.226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226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5702-429E-880B-96B575F16006}"/>
            </c:ext>
          </c:extLst>
        </c:ser>
        <c:ser>
          <c:idx val="1"/>
          <c:order val="1"/>
          <c:spPr>
            <a:ln w="3175">
              <a:solidFill>
                <a:srgbClr val="000000"/>
              </a:solidFill>
              <a:prstDash val="solid"/>
            </a:ln>
          </c:spPr>
          <c:marker>
            <c:symbol val="none"/>
          </c:marker>
          <c:xVal>
            <c:numLit>
              <c:formatCode>General</c:formatCode>
              <c:ptCount val="2"/>
              <c:pt idx="0">
                <c:v>-2.7260000000000009</c:v>
              </c:pt>
              <c:pt idx="1">
                <c:v>-3.3260000000000005</c:v>
              </c:pt>
            </c:numLit>
          </c:xVal>
          <c:yVal>
            <c:numLit>
              <c:formatCode>General</c:formatCode>
              <c:ptCount val="2"/>
              <c:pt idx="0">
                <c:v>2.2089999999999999E-2</c:v>
              </c:pt>
              <c:pt idx="1">
                <c:v>2.2089999999999999E-2</c:v>
              </c:pt>
            </c:numLit>
          </c:yVal>
          <c:smooth val="0"/>
          <c:extLst>
            <c:ext xmlns:c16="http://schemas.microsoft.com/office/drawing/2014/chart" uri="{C3380CC4-5D6E-409C-BE32-E72D297353CC}">
              <c16:uniqueId val="{00000001-5702-429E-880B-96B575F16006}"/>
            </c:ext>
          </c:extLst>
        </c:ser>
        <c:ser>
          <c:idx val="2"/>
          <c:order val="2"/>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02-429E-880B-96B575F160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-4.3260000000000005</c:v>
              </c:pt>
            </c:numLit>
          </c:xVal>
          <c:yVal>
            <c:numLit>
              <c:formatCode>General</c:formatCode>
              <c:ptCount val="1"/>
              <c:pt idx="0">
                <c:v>2.2089999999999999E-2</c:v>
              </c:pt>
            </c:numLit>
          </c:yVal>
          <c:smooth val="0"/>
          <c:extLst>
            <c:ext xmlns:c16="http://schemas.microsoft.com/office/drawing/2014/chart" uri="{C3380CC4-5D6E-409C-BE32-E72D297353CC}">
              <c16:uniqueId val="{00000003-5702-429E-880B-96B575F16006}"/>
            </c:ext>
          </c:extLst>
        </c:ser>
        <c:ser>
          <c:idx val="3"/>
          <c:order val="3"/>
          <c:spPr>
            <a:ln w="3175">
              <a:solidFill>
                <a:srgbClr val="000000"/>
              </a:solidFill>
              <a:prstDash val="solid"/>
            </a:ln>
          </c:spPr>
          <c:marker>
            <c:symbol val="none"/>
          </c:marker>
          <c:xVal>
            <c:numLit>
              <c:formatCode>General</c:formatCode>
              <c:ptCount val="2"/>
              <c:pt idx="0">
                <c:v>-2.7177909810751162</c:v>
              </c:pt>
              <c:pt idx="1">
                <c:v>-3.0176021467719778</c:v>
              </c:pt>
            </c:numLit>
          </c:xVal>
          <c:yVal>
            <c:numLit>
              <c:formatCode>General</c:formatCode>
              <c:ptCount val="2"/>
              <c:pt idx="0">
                <c:v>2.1821645982098278E-2</c:v>
              </c:pt>
              <c:pt idx="1">
                <c:v>2.1815414685584209E-2</c:v>
              </c:pt>
            </c:numLit>
          </c:yVal>
          <c:smooth val="0"/>
          <c:extLst>
            <c:ext xmlns:c16="http://schemas.microsoft.com/office/drawing/2014/chart" uri="{C3380CC4-5D6E-409C-BE32-E72D297353CC}">
              <c16:uniqueId val="{00000004-5702-429E-880B-96B575F16006}"/>
            </c:ext>
          </c:extLst>
        </c:ser>
        <c:ser>
          <c:idx val="4"/>
          <c:order val="4"/>
          <c:spPr>
            <a:ln w="3175">
              <a:solidFill>
                <a:srgbClr val="000000"/>
              </a:solidFill>
              <a:prstDash val="solid"/>
            </a:ln>
          </c:spPr>
          <c:marker>
            <c:symbol val="none"/>
          </c:marker>
          <c:xVal>
            <c:numLit>
              <c:formatCode>General</c:formatCode>
              <c:ptCount val="2"/>
              <c:pt idx="0">
                <c:v>-2.6895353150758101</c:v>
              </c:pt>
              <c:pt idx="1">
                <c:v>-3.287858308676352</c:v>
              </c:pt>
            </c:numLit>
          </c:xVal>
          <c:yVal>
            <c:numLit>
              <c:formatCode>General</c:formatCode>
              <c:ptCount val="2"/>
              <c:pt idx="0">
                <c:v>2.1524726243134527E-2</c:v>
              </c:pt>
              <c:pt idx="1">
                <c:v>2.1498478900193536E-2</c:v>
              </c:pt>
            </c:numLit>
          </c:yVal>
          <c:smooth val="0"/>
          <c:extLst>
            <c:ext xmlns:c16="http://schemas.microsoft.com/office/drawing/2014/chart" uri="{C3380CC4-5D6E-409C-BE32-E72D297353CC}">
              <c16:uniqueId val="{00000005-5702-429E-880B-96B575F16006}"/>
            </c:ext>
          </c:extLst>
        </c:ser>
        <c:ser>
          <c:idx val="5"/>
          <c:order val="5"/>
          <c:spPr>
            <a:ln w="3175">
              <a:solidFill>
                <a:srgbClr val="000000"/>
              </a:solidFill>
              <a:prstDash val="solid"/>
            </a:ln>
          </c:spPr>
          <c:marker>
            <c:symbol val="none"/>
          </c:marker>
          <c:dLbls>
            <c:dLbl>
              <c:idx val="0"/>
              <c:tx>
                <c:rich>
                  <a:bodyPr rot="-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02-429E-880B-96B575F160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-4.2850696235027828</c:v>
              </c:pt>
            </c:numLit>
          </c:xVal>
          <c:yVal>
            <c:numLit>
              <c:formatCode>General</c:formatCode>
              <c:ptCount val="1"/>
              <c:pt idx="0">
                <c:v>2.1454782550794298E-2</c:v>
              </c:pt>
            </c:numLit>
          </c:yVal>
          <c:smooth val="0"/>
          <c:extLst>
            <c:ext xmlns:c16="http://schemas.microsoft.com/office/drawing/2014/chart" uri="{C3380CC4-5D6E-409C-BE32-E72D297353CC}">
              <c16:uniqueId val="{00000007-5702-429E-880B-96B575F16006}"/>
            </c:ext>
          </c:extLst>
        </c:ser>
        <c:ser>
          <c:idx val="6"/>
          <c:order val="6"/>
          <c:spPr>
            <a:ln w="3175">
              <a:solidFill>
                <a:srgbClr val="000000"/>
              </a:solidFill>
              <a:prstDash val="solid"/>
            </a:ln>
          </c:spPr>
          <c:marker>
            <c:symbol val="none"/>
          </c:marker>
          <c:xVal>
            <c:numLit>
              <c:formatCode>General</c:formatCode>
              <c:ptCount val="2"/>
              <c:pt idx="0">
                <c:v>-2.6346117216472611</c:v>
              </c:pt>
              <c:pt idx="1">
                <c:v>-2.9325091061126667</c:v>
              </c:pt>
            </c:numLit>
          </c:xVal>
          <c:yVal>
            <c:numLit>
              <c:formatCode>General</c:formatCode>
              <c:ptCount val="2"/>
              <c:pt idx="0">
                <c:v>2.1196075596898574E-2</c:v>
              </c:pt>
              <c:pt idx="1">
                <c:v>2.1175315770585484E-2</c:v>
              </c:pt>
            </c:numLit>
          </c:yVal>
          <c:smooth val="0"/>
          <c:extLst>
            <c:ext xmlns:c16="http://schemas.microsoft.com/office/drawing/2014/chart" uri="{C3380CC4-5D6E-409C-BE32-E72D297353CC}">
              <c16:uniqueId val="{00000008-5702-429E-880B-96B575F16006}"/>
            </c:ext>
          </c:extLst>
        </c:ser>
        <c:ser>
          <c:idx val="7"/>
          <c:order val="7"/>
          <c:spPr>
            <a:ln w="3175">
              <a:solidFill>
                <a:srgbClr val="000000"/>
              </a:solidFill>
              <a:prstDash val="solid"/>
            </a:ln>
          </c:spPr>
          <c:marker>
            <c:symbol val="none"/>
          </c:marker>
          <c:xVal>
            <c:numLit>
              <c:formatCode>General</c:formatCode>
              <c:ptCount val="2"/>
              <c:pt idx="0">
                <c:v>-2.5445387090126976</c:v>
              </c:pt>
              <c:pt idx="1">
                <c:v>-3.1361906034043434</c:v>
              </c:pt>
            </c:numLit>
          </c:xVal>
          <c:yVal>
            <c:numLit>
              <c:formatCode>General</c:formatCode>
              <c:ptCount val="2"/>
              <c:pt idx="0">
                <c:v>2.0832582727766315E-2</c:v>
              </c:pt>
              <c:pt idx="1">
                <c:v>2.0774184552687869E-2</c:v>
              </c:pt>
            </c:numLit>
          </c:yVal>
          <c:smooth val="0"/>
          <c:extLst>
            <c:ext xmlns:c16="http://schemas.microsoft.com/office/drawing/2014/chart" uri="{C3380CC4-5D6E-409C-BE32-E72D297353CC}">
              <c16:uniqueId val="{00000009-5702-429E-880B-96B575F16006}"/>
            </c:ext>
          </c:extLst>
        </c:ser>
        <c:ser>
          <c:idx val="8"/>
          <c:order val="8"/>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02-429E-880B-96B575F160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-4.1223080490551736</c:v>
              </c:pt>
            </c:numLit>
          </c:xVal>
          <c:yVal>
            <c:numLit>
              <c:formatCode>General</c:formatCode>
              <c:ptCount val="1"/>
              <c:pt idx="0">
                <c:v>2.0676961317627925E-2</c:v>
              </c:pt>
            </c:numLit>
          </c:yVal>
          <c:smooth val="0"/>
          <c:extLst>
            <c:ext xmlns:c16="http://schemas.microsoft.com/office/drawing/2014/chart" uri="{C3380CC4-5D6E-409C-BE32-E72D297353CC}">
              <c16:uniqueId val="{0000000B-5702-429E-880B-96B575F16006}"/>
            </c:ext>
          </c:extLst>
        </c:ser>
        <c:ser>
          <c:idx val="9"/>
          <c:order val="9"/>
          <c:spPr>
            <a:ln w="3175">
              <a:solidFill>
                <a:srgbClr val="000000"/>
              </a:solidFill>
              <a:prstDash val="solid"/>
            </a:ln>
          </c:spPr>
          <c:marker>
            <c:symbol val="none"/>
          </c:marker>
          <c:xVal>
            <c:numLit>
              <c:formatCode>General</c:formatCode>
              <c:ptCount val="2"/>
              <c:pt idx="0">
                <c:v>-2.4963528727178703</c:v>
              </c:pt>
              <c:pt idx="1">
                <c:v>-2.7910676640901402</c:v>
              </c:pt>
            </c:numLit>
          </c:xVal>
          <c:yVal>
            <c:numLit>
              <c:formatCode>General</c:formatCode>
              <c:ptCount val="2"/>
              <c:pt idx="0">
                <c:v>2.067679262206713E-2</c:v>
              </c:pt>
              <c:pt idx="1">
                <c:v>2.0643966809246239E-2</c:v>
              </c:pt>
            </c:numLit>
          </c:yVal>
          <c:smooth val="0"/>
          <c:extLst>
            <c:ext xmlns:c16="http://schemas.microsoft.com/office/drawing/2014/chart" uri="{C3380CC4-5D6E-409C-BE32-E72D297353CC}">
              <c16:uniqueId val="{0000000C-5702-429E-880B-96B575F16006}"/>
            </c:ext>
          </c:extLst>
        </c:ser>
        <c:ser>
          <c:idx val="10"/>
          <c:order val="10"/>
          <c:spPr>
            <a:ln w="3175">
              <a:solidFill>
                <a:srgbClr val="000000"/>
              </a:solidFill>
              <a:prstDash val="solid"/>
            </a:ln>
          </c:spPr>
          <c:marker>
            <c:symbol val="none"/>
          </c:marker>
          <c:xVal>
            <c:numLit>
              <c:formatCode>General</c:formatCode>
              <c:ptCount val="2"/>
              <c:pt idx="0">
                <c:v>-2.4400654250285116</c:v>
              </c:pt>
              <c:pt idx="1">
                <c:v>-2.7334839817598384</c:v>
              </c:pt>
            </c:numLit>
          </c:xVal>
          <c:yVal>
            <c:numLit>
              <c:formatCode>General</c:formatCode>
              <c:ptCount val="2"/>
              <c:pt idx="0">
                <c:v>2.0514833672442077E-2</c:v>
              </c:pt>
              <c:pt idx="1">
                <c:v>2.0478242946930441E-2</c:v>
              </c:pt>
            </c:numLit>
          </c:yVal>
          <c:smooth val="0"/>
          <c:extLst>
            <c:ext xmlns:c16="http://schemas.microsoft.com/office/drawing/2014/chart" uri="{C3380CC4-5D6E-409C-BE32-E72D297353CC}">
              <c16:uniqueId val="{0000000D-5702-429E-880B-96B575F16006}"/>
            </c:ext>
          </c:extLst>
        </c:ser>
        <c:ser>
          <c:idx val="11"/>
          <c:order val="11"/>
          <c:spPr>
            <a:ln w="3175">
              <a:solidFill>
                <a:srgbClr val="000000"/>
              </a:solidFill>
              <a:prstDash val="solid"/>
            </a:ln>
          </c:spPr>
          <c:marker>
            <c:symbol val="none"/>
          </c:marker>
          <c:xVal>
            <c:numLit>
              <c:formatCode>General</c:formatCode>
              <c:ptCount val="2"/>
              <c:pt idx="0">
                <c:v>-2.3748159661072097</c:v>
              </c:pt>
              <c:pt idx="1">
                <c:v>-2.6667315088137853</c:v>
              </c:pt>
            </c:numLit>
          </c:xVal>
          <c:yVal>
            <c:numLit>
              <c:formatCode>General</c:formatCode>
              <c:ptCount val="2"/>
              <c:pt idx="0">
                <c:v>2.0346588029398295E-2</c:v>
              </c:pt>
              <c:pt idx="1">
                <c:v>2.0306085233094295E-2</c:v>
              </c:pt>
            </c:numLit>
          </c:yVal>
          <c:smooth val="0"/>
          <c:extLst>
            <c:ext xmlns:c16="http://schemas.microsoft.com/office/drawing/2014/chart" uri="{C3380CC4-5D6E-409C-BE32-E72D297353CC}">
              <c16:uniqueId val="{0000000E-5702-429E-880B-96B575F16006}"/>
            </c:ext>
          </c:extLst>
        </c:ser>
        <c:ser>
          <c:idx val="12"/>
          <c:order val="12"/>
          <c:spPr>
            <a:ln w="3175">
              <a:solidFill>
                <a:srgbClr val="000000"/>
              </a:solidFill>
              <a:prstDash val="solid"/>
            </a:ln>
          </c:spPr>
          <c:marker>
            <c:symbol val="none"/>
          </c:marker>
          <c:xVal>
            <c:numLit>
              <c:formatCode>General</c:formatCode>
              <c:ptCount val="2"/>
              <c:pt idx="0">
                <c:v>-2.2996773441593268</c:v>
              </c:pt>
              <c:pt idx="1">
                <c:v>-2.5898615548518729</c:v>
              </c:pt>
            </c:numLit>
          </c:xVal>
          <c:yVal>
            <c:numLit>
              <c:formatCode>General</c:formatCode>
              <c:ptCount val="2"/>
              <c:pt idx="0">
                <c:v>2.0171973201727773E-2</c:v>
              </c:pt>
              <c:pt idx="1">
                <c:v>2.0127409024529509E-2</c:v>
              </c:pt>
            </c:numLit>
          </c:yVal>
          <c:smooth val="0"/>
          <c:extLst>
            <c:ext xmlns:c16="http://schemas.microsoft.com/office/drawing/2014/chart" uri="{C3380CC4-5D6E-409C-BE32-E72D297353CC}">
              <c16:uniqueId val="{0000000F-5702-429E-880B-96B575F16006}"/>
            </c:ext>
          </c:extLst>
        </c:ser>
        <c:ser>
          <c:idx val="13"/>
          <c:order val="13"/>
          <c:spPr>
            <a:ln w="3175">
              <a:solidFill>
                <a:srgbClr val="000000"/>
              </a:solidFill>
              <a:prstDash val="solid"/>
            </a:ln>
          </c:spPr>
          <c:marker>
            <c:symbol val="none"/>
          </c:marker>
          <c:xVal>
            <c:numLit>
              <c:formatCode>General</c:formatCode>
              <c:ptCount val="2"/>
              <c:pt idx="0">
                <c:v>-2.2136568791203377</c:v>
              </c:pt>
              <c:pt idx="1">
                <c:v>-2.7900692664961855</c:v>
              </c:pt>
            </c:numLit>
          </c:xVal>
          <c:yVal>
            <c:numLit>
              <c:formatCode>General</c:formatCode>
              <c:ptCount val="2"/>
              <c:pt idx="0">
                <c:v>1.9990950699639853E-2</c:v>
              </c:pt>
              <c:pt idx="1">
                <c:v>1.9893417736115658E-2</c:v>
              </c:pt>
            </c:numLit>
          </c:yVal>
          <c:smooth val="0"/>
          <c:extLst>
            <c:ext xmlns:c16="http://schemas.microsoft.com/office/drawing/2014/chart" uri="{C3380CC4-5D6E-409C-BE32-E72D297353CC}">
              <c16:uniqueId val="{00000010-5702-429E-880B-96B575F16006}"/>
            </c:ext>
          </c:extLst>
        </c:ser>
        <c:ser>
          <c:idx val="14"/>
          <c:order val="14"/>
          <c:spPr>
            <a:ln w="3175">
              <a:solidFill>
                <a:srgbClr val="000000"/>
              </a:solidFill>
              <a:prstDash val="solid"/>
            </a:ln>
          </c:spPr>
          <c:marker>
            <c:symbol val="none"/>
          </c:marker>
          <c:dLbls>
            <c:dLbl>
              <c:idx val="0"/>
              <c:tx>
                <c:rich>
                  <a:bodyPr rot="-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702-429E-880B-96B575F160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-3.7508406464665436</c:v>
              </c:pt>
            </c:numLit>
          </c:xVal>
          <c:yVal>
            <c:numLit>
              <c:formatCode>General</c:formatCode>
              <c:ptCount val="1"/>
              <c:pt idx="0">
                <c:v>1.9731032397568168E-2</c:v>
              </c:pt>
            </c:numLit>
          </c:yVal>
          <c:smooth val="0"/>
          <c:extLst>
            <c:ext xmlns:c16="http://schemas.microsoft.com/office/drawing/2014/chart" uri="{C3380CC4-5D6E-409C-BE32-E72D297353CC}">
              <c16:uniqueId val="{00000012-5702-429E-880B-96B575F16006}"/>
            </c:ext>
          </c:extLst>
        </c:ser>
        <c:ser>
          <c:idx val="15"/>
          <c:order val="15"/>
          <c:spPr>
            <a:ln w="3175">
              <a:solidFill>
                <a:srgbClr val="000000"/>
              </a:solidFill>
              <a:prstDash val="solid"/>
            </a:ln>
          </c:spPr>
          <c:marker>
            <c:symbol val="none"/>
          </c:marker>
          <c:xVal>
            <c:numLit>
              <c:formatCode>General</c:formatCode>
              <c:ptCount val="2"/>
              <c:pt idx="0">
                <c:v>-2.1156997602364047</c:v>
              </c:pt>
              <c:pt idx="1">
                <c:v>-2.4016424495226509</c:v>
              </c:pt>
            </c:numLit>
          </c:xVal>
          <c:yVal>
            <c:numLit>
              <c:formatCode>General</c:formatCode>
              <c:ptCount val="2"/>
              <c:pt idx="0">
                <c:v>1.9803535709313494E-2</c:v>
              </c:pt>
              <c:pt idx="1">
                <c:v>1.9750397409267505E-2</c:v>
              </c:pt>
            </c:numLit>
          </c:yVal>
          <c:smooth val="0"/>
          <c:extLst>
            <c:ext xmlns:c16="http://schemas.microsoft.com/office/drawing/2014/chart" uri="{C3380CC4-5D6E-409C-BE32-E72D297353CC}">
              <c16:uniqueId val="{00000013-5702-429E-880B-96B575F16006}"/>
            </c:ext>
          </c:extLst>
        </c:ser>
        <c:ser>
          <c:idx val="16"/>
          <c:order val="16"/>
          <c:spPr>
            <a:ln w="3175">
              <a:solidFill>
                <a:srgbClr val="000000"/>
              </a:solidFill>
              <a:prstDash val="solid"/>
            </a:ln>
          </c:spPr>
          <c:marker>
            <c:symbol val="none"/>
          </c:marker>
          <c:xVal>
            <c:numLit>
              <c:formatCode>General</c:formatCode>
              <c:ptCount val="2"/>
              <c:pt idx="0">
                <c:v>-2.0046951759853218</c:v>
              </c:pt>
              <c:pt idx="1">
                <c:v>-2.2880771129753392</c:v>
              </c:pt>
            </c:numLit>
          </c:xVal>
          <c:yVal>
            <c:numLit>
              <c:formatCode>General</c:formatCode>
              <c:ptCount val="2"/>
              <c:pt idx="0">
                <c:v>1.960980771918288E-2</c:v>
              </c:pt>
              <c:pt idx="1">
                <c:v>1.9552158245836306E-2</c:v>
              </c:pt>
            </c:numLit>
          </c:yVal>
          <c:smooth val="0"/>
          <c:extLst>
            <c:ext xmlns:c16="http://schemas.microsoft.com/office/drawing/2014/chart" uri="{C3380CC4-5D6E-409C-BE32-E72D297353CC}">
              <c16:uniqueId val="{00000014-5702-429E-880B-96B575F16006}"/>
            </c:ext>
          </c:extLst>
        </c:ser>
        <c:ser>
          <c:idx val="17"/>
          <c:order val="17"/>
          <c:spPr>
            <a:ln w="3175">
              <a:solidFill>
                <a:srgbClr val="000000"/>
              </a:solidFill>
              <a:prstDash val="solid"/>
            </a:ln>
          </c:spPr>
          <c:marker>
            <c:symbol val="none"/>
          </c:marker>
          <c:xVal>
            <c:numLit>
              <c:formatCode>General</c:formatCode>
              <c:ptCount val="2"/>
              <c:pt idx="0">
                <c:v>-1.8794857811577035</c:v>
              </c:pt>
              <c:pt idx="1">
                <c:v>-2.1599778560944669</c:v>
              </c:pt>
            </c:numLit>
          </c:xVal>
          <c:yVal>
            <c:numLit>
              <c:formatCode>General</c:formatCode>
              <c:ptCount val="2"/>
              <c:pt idx="0">
                <c:v>1.9409921932302902E-2</c:v>
              </c:pt>
              <c:pt idx="1">
                <c:v>1.9347615627535279E-2</c:v>
              </c:pt>
            </c:numLit>
          </c:yVal>
          <c:smooth val="0"/>
          <c:extLst>
            <c:ext xmlns:c16="http://schemas.microsoft.com/office/drawing/2014/chart" uri="{C3380CC4-5D6E-409C-BE32-E72D297353CC}">
              <c16:uniqueId val="{00000015-5702-429E-880B-96B575F16006}"/>
            </c:ext>
          </c:extLst>
        </c:ser>
        <c:ser>
          <c:idx val="18"/>
          <c:order val="18"/>
          <c:spPr>
            <a:ln w="3175">
              <a:solidFill>
                <a:srgbClr val="000000"/>
              </a:solidFill>
              <a:prstDash val="solid"/>
            </a:ln>
          </c:spPr>
          <c:marker>
            <c:symbol val="none"/>
          </c:marker>
          <c:xVal>
            <c:numLit>
              <c:formatCode>General</c:formatCode>
              <c:ptCount val="2"/>
              <c:pt idx="0">
                <c:v>-1.7388811228433756</c:v>
              </c:pt>
              <c:pt idx="1">
                <c:v>-2.0161262329477285</c:v>
              </c:pt>
            </c:numLit>
          </c:xVal>
          <c:yVal>
            <c:numLit>
              <c:formatCode>General</c:formatCode>
              <c:ptCount val="2"/>
              <c:pt idx="0">
                <c:v>1.9204121190043315E-2</c:v>
              </c:pt>
              <c:pt idx="1">
                <c:v>1.9137017651130094E-2</c:v>
              </c:pt>
            </c:numLit>
          </c:yVal>
          <c:smooth val="0"/>
          <c:extLst>
            <c:ext xmlns:c16="http://schemas.microsoft.com/office/drawing/2014/chart" uri="{C3380CC4-5D6E-409C-BE32-E72D297353CC}">
              <c16:uniqueId val="{00000016-5702-429E-880B-96B575F16006}"/>
            </c:ext>
          </c:extLst>
        </c:ser>
        <c:ser>
          <c:idx val="19"/>
          <c:order val="19"/>
          <c:spPr>
            <a:ln w="3175">
              <a:solidFill>
                <a:srgbClr val="000000"/>
              </a:solidFill>
              <a:prstDash val="solid"/>
            </a:ln>
          </c:spPr>
          <c:marker>
            <c:symbol val="none"/>
          </c:marker>
          <c:xVal>
            <c:numLit>
              <c:formatCode>General</c:formatCode>
              <c:ptCount val="2"/>
              <c:pt idx="0">
                <c:v>-1.5816756183050091</c:v>
              </c:pt>
              <c:pt idx="1">
                <c:v>-2.1289203722813341</c:v>
              </c:pt>
            </c:numLit>
          </c:xVal>
          <c:yVal>
            <c:numLit>
              <c:formatCode>General</c:formatCode>
              <c:ptCount val="2"/>
              <c:pt idx="0">
                <c:v>1.8992748000650445E-2</c:v>
              </c:pt>
              <c:pt idx="1">
                <c:v>1.8848706141296755E-2</c:v>
              </c:pt>
            </c:numLit>
          </c:yVal>
          <c:smooth val="0"/>
          <c:extLst>
            <c:ext xmlns:c16="http://schemas.microsoft.com/office/drawing/2014/chart" uri="{C3380CC4-5D6E-409C-BE32-E72D297353CC}">
              <c16:uniqueId val="{00000017-5702-429E-880B-96B575F16006}"/>
            </c:ext>
          </c:extLst>
        </c:ser>
        <c:ser>
          <c:idx val="20"/>
          <c:order val="20"/>
          <c:spPr>
            <a:ln w="3175">
              <a:solidFill>
                <a:srgbClr val="000000"/>
              </a:solidFill>
              <a:prstDash val="solid"/>
            </a:ln>
          </c:spPr>
          <c:marker>
            <c:symbol val="none"/>
          </c:marker>
          <c:dLbls>
            <c:dLbl>
              <c:idx val="0"/>
              <c:tx>
                <c:rich>
                  <a:bodyPr rot="-1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702-429E-880B-96B575F160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-3.0411688426769223</c:v>
              </c:pt>
            </c:numLit>
          </c:xVal>
          <c:yVal>
            <c:numLit>
              <c:formatCode>General</c:formatCode>
              <c:ptCount val="1"/>
              <c:pt idx="0">
                <c:v>1.8608861883149613E-2</c:v>
              </c:pt>
            </c:numLit>
          </c:yVal>
          <c:smooth val="0"/>
          <c:extLst>
            <c:ext xmlns:c16="http://schemas.microsoft.com/office/drawing/2014/chart" uri="{C3380CC4-5D6E-409C-BE32-E72D297353CC}">
              <c16:uniqueId val="{00000019-5702-429E-880B-96B575F16006}"/>
            </c:ext>
          </c:extLst>
        </c:ser>
        <c:ser>
          <c:idx val="21"/>
          <c:order val="21"/>
          <c:spPr>
            <a:ln w="3175">
              <a:solidFill>
                <a:srgbClr val="000000"/>
              </a:solidFill>
              <a:prstDash val="solid"/>
            </a:ln>
          </c:spPr>
          <c:marker>
            <c:symbol val="none"/>
          </c:marker>
          <c:xVal>
            <c:numLit>
              <c:formatCode>General</c:formatCode>
              <c:ptCount val="2"/>
              <c:pt idx="0">
                <c:v>-1.4964722249073321</c:v>
              </c:pt>
              <c:pt idx="1">
                <c:v>-1.7681150675788779</c:v>
              </c:pt>
            </c:numLit>
          </c:xVal>
          <c:yVal>
            <c:numLit>
              <c:formatCode>General</c:formatCode>
              <c:ptCount val="2"/>
              <c:pt idx="0">
                <c:v>1.8885108894028058E-2</c:v>
              </c:pt>
              <c:pt idx="1">
                <c:v>1.8810563467403105E-2</c:v>
              </c:pt>
            </c:numLit>
          </c:yVal>
          <c:smooth val="0"/>
          <c:extLst>
            <c:ext xmlns:c16="http://schemas.microsoft.com/office/drawing/2014/chart" uri="{C3380CC4-5D6E-409C-BE32-E72D297353CC}">
              <c16:uniqueId val="{0000001A-5702-429E-880B-96B575F16006}"/>
            </c:ext>
          </c:extLst>
        </c:ser>
        <c:ser>
          <c:idx val="22"/>
          <c:order val="22"/>
          <c:spPr>
            <a:ln w="3175">
              <a:solidFill>
                <a:srgbClr val="000000"/>
              </a:solidFill>
              <a:prstDash val="solid"/>
            </a:ln>
          </c:spPr>
          <c:marker>
            <c:symbol val="none"/>
          </c:marker>
          <c:xVal>
            <c:numLit>
              <c:formatCode>General</c:formatCode>
              <c:ptCount val="2"/>
              <c:pt idx="0">
                <c:v>-1.4066715844745405</c:v>
              </c:pt>
              <c:pt idx="1">
                <c:v>-1.676237681797045</c:v>
              </c:pt>
            </c:numLit>
          </c:xVal>
          <c:yVal>
            <c:numLit>
              <c:formatCode>General</c:formatCode>
              <c:ptCount val="2"/>
              <c:pt idx="0">
                <c:v>1.8776256115799778E-2</c:v>
              </c:pt>
              <c:pt idx="1">
                <c:v>1.8699169687334545E-2</c:v>
              </c:pt>
            </c:numLit>
          </c:yVal>
          <c:smooth val="0"/>
          <c:extLst>
            <c:ext xmlns:c16="http://schemas.microsoft.com/office/drawing/2014/chart" uri="{C3380CC4-5D6E-409C-BE32-E72D297353CC}">
              <c16:uniqueId val="{0000001B-5702-429E-880B-96B575F16006}"/>
            </c:ext>
          </c:extLst>
        </c:ser>
        <c:ser>
          <c:idx val="23"/>
          <c:order val="23"/>
          <c:spPr>
            <a:ln w="3175">
              <a:solidFill>
                <a:srgbClr val="000000"/>
              </a:solidFill>
              <a:prstDash val="solid"/>
            </a:ln>
          </c:spPr>
          <c:marker>
            <c:symbol val="none"/>
          </c:marker>
          <c:xVal>
            <c:numLit>
              <c:formatCode>General</c:formatCode>
              <c:ptCount val="2"/>
              <c:pt idx="0">
                <c:v>-1.3121298811095559</c:v>
              </c:pt>
              <c:pt idx="1">
                <c:v>-1.5795087945138824</c:v>
              </c:pt>
            </c:numLit>
          </c:xVal>
          <c:yVal>
            <c:numLit>
              <c:formatCode>General</c:formatCode>
              <c:ptCount val="2"/>
              <c:pt idx="0">
                <c:v>1.8666265476870125E-2</c:v>
              </c:pt>
              <c:pt idx="1">
                <c:v>1.8586610558888082E-2</c:v>
              </c:pt>
            </c:numLit>
          </c:yVal>
          <c:smooth val="0"/>
          <c:extLst>
            <c:ext xmlns:c16="http://schemas.microsoft.com/office/drawing/2014/chart" uri="{C3380CC4-5D6E-409C-BE32-E72D297353CC}">
              <c16:uniqueId val="{0000001C-5702-429E-880B-96B575F16006}"/>
            </c:ext>
          </c:extLst>
        </c:ser>
        <c:ser>
          <c:idx val="24"/>
          <c:order val="24"/>
          <c:spPr>
            <a:ln w="3175">
              <a:solidFill>
                <a:srgbClr val="000000"/>
              </a:solidFill>
              <a:prstDash val="solid"/>
            </a:ln>
          </c:spPr>
          <c:marker>
            <c:symbol val="none"/>
          </c:marker>
          <c:xVal>
            <c:numLit>
              <c:formatCode>General</c:formatCode>
              <c:ptCount val="2"/>
              <c:pt idx="0">
                <c:v>-1.2127076414501079</c:v>
              </c:pt>
              <c:pt idx="1">
                <c:v>-1.4777855882642175</c:v>
              </c:pt>
            </c:numLit>
          </c:xVal>
          <c:yVal>
            <c:numLit>
              <c:formatCode>General</c:formatCode>
              <c:ptCount val="2"/>
              <c:pt idx="0">
                <c:v>1.8555220937788677E-2</c:v>
              </c:pt>
              <c:pt idx="1">
                <c:v>1.8472971944088808E-2</c:v>
              </c:pt>
            </c:numLit>
          </c:yVal>
          <c:smooth val="0"/>
          <c:extLst>
            <c:ext xmlns:c16="http://schemas.microsoft.com/office/drawing/2014/chart" uri="{C3380CC4-5D6E-409C-BE32-E72D297353CC}">
              <c16:uniqueId val="{0000001D-5702-429E-880B-96B575F16006}"/>
            </c:ext>
          </c:extLst>
        </c:ser>
        <c:ser>
          <c:idx val="25"/>
          <c:order val="25"/>
          <c:spPr>
            <a:ln w="3175">
              <a:solidFill>
                <a:srgbClr val="000000"/>
              </a:solidFill>
              <a:prstDash val="solid"/>
            </a:ln>
          </c:spPr>
          <c:marker>
            <c:symbol val="none"/>
          </c:marker>
          <c:xVal>
            <c:numLit>
              <c:formatCode>General</c:formatCode>
              <c:ptCount val="2"/>
              <c:pt idx="0">
                <c:v>-1.1082709156214365</c:v>
              </c:pt>
              <c:pt idx="1">
                <c:v>-1.633616932440783</c:v>
              </c:pt>
            </c:numLit>
          </c:xVal>
          <c:yVal>
            <c:numLit>
              <c:formatCode>General</c:formatCode>
              <c:ptCount val="2"/>
              <c:pt idx="0">
                <c:v>1.8443214807137009E-2</c:v>
              </c:pt>
              <c:pt idx="1">
                <c:v>1.8273509229952491E-2</c:v>
              </c:pt>
            </c:numLit>
          </c:yVal>
          <c:smooth val="0"/>
          <c:extLst>
            <c:ext xmlns:c16="http://schemas.microsoft.com/office/drawing/2014/chart" uri="{C3380CC4-5D6E-409C-BE32-E72D297353CC}">
              <c16:uniqueId val="{0000001E-5702-429E-880B-96B575F16006}"/>
            </c:ext>
          </c:extLst>
        </c:ser>
        <c:ser>
          <c:idx val="26"/>
          <c:order val="26"/>
          <c:spPr>
            <a:ln w="3175">
              <a:solidFill>
                <a:srgbClr val="000000"/>
              </a:solidFill>
              <a:prstDash val="solid"/>
            </a:ln>
          </c:spPr>
          <c:marker>
            <c:symbol val="none"/>
          </c:marker>
          <c:xVal>
            <c:numLit>
              <c:formatCode>General</c:formatCode>
              <c:ptCount val="2"/>
              <c:pt idx="0">
                <c:v>-0.99869253347946507</c:v>
              </c:pt>
              <c:pt idx="1">
                <c:v>-1.2588144454613817</c:v>
              </c:pt>
            </c:numLit>
          </c:xVal>
          <c:yVal>
            <c:numLit>
              <c:formatCode>General</c:formatCode>
              <c:ptCount val="2"/>
              <c:pt idx="0">
                <c:v>1.8330347884092039E-2</c:v>
              </c:pt>
              <c:pt idx="1">
                <c:v>1.8242842570376793E-2</c:v>
              </c:pt>
            </c:numLit>
          </c:yVal>
          <c:smooth val="0"/>
          <c:extLst>
            <c:ext xmlns:c16="http://schemas.microsoft.com/office/drawing/2014/chart" uri="{C3380CC4-5D6E-409C-BE32-E72D297353CC}">
              <c16:uniqueId val="{0000001F-5702-429E-880B-96B575F16006}"/>
            </c:ext>
          </c:extLst>
        </c:ser>
        <c:ser>
          <c:idx val="27"/>
          <c:order val="27"/>
          <c:spPr>
            <a:ln w="3175">
              <a:solidFill>
                <a:srgbClr val="000000"/>
              </a:solidFill>
              <a:prstDash val="solid"/>
            </a:ln>
          </c:spPr>
          <c:marker>
            <c:symbol val="none"/>
          </c:marker>
          <c:xVal>
            <c:numLit>
              <c:formatCode>General</c:formatCode>
              <c:ptCount val="2"/>
              <c:pt idx="0">
                <c:v>-0.88385342855755644</c:v>
              </c:pt>
              <c:pt idx="1">
                <c:v>-1.1413142960222573</c:v>
              </c:pt>
            </c:numLit>
          </c:xVal>
          <c:yVal>
            <c:numLit>
              <c:formatCode>General</c:formatCode>
              <c:ptCount val="2"/>
              <c:pt idx="0">
                <c:v>1.8216729536511021E-2</c:v>
              </c:pt>
              <c:pt idx="1">
                <c:v>1.8126566776147095E-2</c:v>
              </c:pt>
            </c:numLit>
          </c:yVal>
          <c:smooth val="0"/>
          <c:extLst>
            <c:ext xmlns:c16="http://schemas.microsoft.com/office/drawing/2014/chart" uri="{C3380CC4-5D6E-409C-BE32-E72D297353CC}">
              <c16:uniqueId val="{00000020-5702-429E-880B-96B575F16006}"/>
            </c:ext>
          </c:extLst>
        </c:ser>
        <c:ser>
          <c:idx val="28"/>
          <c:order val="28"/>
          <c:spPr>
            <a:ln w="3175">
              <a:solidFill>
                <a:srgbClr val="000000"/>
              </a:solidFill>
              <a:prstDash val="solid"/>
            </a:ln>
          </c:spPr>
          <c:marker>
            <c:symbol val="none"/>
          </c:marker>
          <c:xVal>
            <c:numLit>
              <c:formatCode>General</c:formatCode>
              <c:ptCount val="2"/>
              <c:pt idx="0">
                <c:v>-0.76364401977639196</c:v>
              </c:pt>
              <c:pt idx="1">
                <c:v>-1.0183181707082325</c:v>
              </c:pt>
            </c:numLit>
          </c:xVal>
          <c:yVal>
            <c:numLit>
              <c:formatCode>General</c:formatCode>
              <c:ptCount val="2"/>
              <c:pt idx="0">
                <c:v>1.8102477705882948E-2</c:v>
              </c:pt>
              <c:pt idx="1">
                <c:v>1.8009641511432466E-2</c:v>
              </c:pt>
            </c:numLit>
          </c:yVal>
          <c:smooth val="0"/>
          <c:extLst>
            <c:ext xmlns:c16="http://schemas.microsoft.com/office/drawing/2014/chart" uri="{C3380CC4-5D6E-409C-BE32-E72D297353CC}">
              <c16:uniqueId val="{00000021-5702-429E-880B-96B575F16006}"/>
            </c:ext>
          </c:extLst>
        </c:ser>
        <c:ser>
          <c:idx val="29"/>
          <c:order val="29"/>
          <c:spPr>
            <a:ln w="3175">
              <a:solidFill>
                <a:srgbClr val="000000"/>
              </a:solidFill>
              <a:prstDash val="solid"/>
            </a:ln>
          </c:spPr>
          <c:marker>
            <c:symbol val="none"/>
          </c:marker>
          <c:xVal>
            <c:numLit>
              <c:formatCode>General</c:formatCode>
              <c:ptCount val="2"/>
              <c:pt idx="0">
                <c:v>-0.63796563849307575</c:v>
              </c:pt>
              <c:pt idx="1">
                <c:v>-0.88972495784094352</c:v>
              </c:pt>
            </c:numLit>
          </c:xVal>
          <c:yVal>
            <c:numLit>
              <c:formatCode>General</c:formatCode>
              <c:ptCount val="2"/>
              <c:pt idx="0">
                <c:v>1.7987718830706271E-2</c:v>
              </c:pt>
              <c:pt idx="1">
                <c:v>1.7892196120887251E-2</c:v>
              </c:pt>
            </c:numLit>
          </c:yVal>
          <c:smooth val="0"/>
          <c:extLst>
            <c:ext xmlns:c16="http://schemas.microsoft.com/office/drawing/2014/chart" uri="{C3380CC4-5D6E-409C-BE32-E72D297353CC}">
              <c16:uniqueId val="{00000022-5702-429E-880B-96B575F16006}"/>
            </c:ext>
          </c:extLst>
        </c:ser>
        <c:ser>
          <c:idx val="30"/>
          <c:order val="30"/>
          <c:spPr>
            <a:ln w="3175">
              <a:solidFill>
                <a:srgbClr val="000000"/>
              </a:solidFill>
              <a:prstDash val="solid"/>
            </a:ln>
          </c:spPr>
          <c:marker>
            <c:symbol val="none"/>
          </c:marker>
          <c:xVal>
            <c:numLit>
              <c:formatCode>General</c:formatCode>
              <c:ptCount val="2"/>
              <c:pt idx="0">
                <c:v>-0.50673198590884305</c:v>
              </c:pt>
              <c:pt idx="1">
                <c:v>-1.0041934365994849</c:v>
              </c:pt>
            </c:numLit>
          </c:xVal>
          <c:yVal>
            <c:numLit>
              <c:formatCode>General</c:formatCode>
              <c:ptCount val="2"/>
              <c:pt idx="0">
                <c:v>1.7872587680313686E-2</c:v>
              </c:pt>
              <c:pt idx="1">
                <c:v>1.767617782594812E-2</c:v>
              </c:pt>
            </c:numLit>
          </c:yVal>
          <c:smooth val="0"/>
          <c:extLst>
            <c:ext xmlns:c16="http://schemas.microsoft.com/office/drawing/2014/chart" uri="{C3380CC4-5D6E-409C-BE32-E72D297353CC}">
              <c16:uniqueId val="{00000023-5702-429E-880B-96B575F16006}"/>
            </c:ext>
          </c:extLst>
        </c:ser>
        <c:ser>
          <c:idx val="31"/>
          <c:order val="31"/>
          <c:spPr>
            <a:ln w="3175">
              <a:solidFill>
                <a:srgbClr val="000000"/>
              </a:solidFill>
              <a:prstDash val="solid"/>
            </a:ln>
          </c:spPr>
          <c:marker>
            <c:symbol val="none"/>
          </c:marker>
          <c:dLbls>
            <c:dLbl>
              <c:idx val="0"/>
              <c:tx>
                <c:rich>
                  <a:bodyPr rot="-20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702-429E-880B-96B575F160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-1.8335892045740627</c:v>
              </c:pt>
            </c:numLit>
          </c:xVal>
          <c:yVal>
            <c:numLit>
              <c:formatCode>General</c:formatCode>
              <c:ptCount val="1"/>
              <c:pt idx="0">
                <c:v>1.7349081698786014E-2</c:v>
              </c:pt>
            </c:numLit>
          </c:yVal>
          <c:smooth val="0"/>
          <c:extLst>
            <c:ext xmlns:c16="http://schemas.microsoft.com/office/drawing/2014/chart" uri="{C3380CC4-5D6E-409C-BE32-E72D297353CC}">
              <c16:uniqueId val="{00000025-5702-429E-880B-96B575F16006}"/>
            </c:ext>
          </c:extLst>
        </c:ser>
        <c:ser>
          <c:idx val="32"/>
          <c:order val="32"/>
          <c:spPr>
            <a:ln w="3175">
              <a:solidFill>
                <a:srgbClr val="000000"/>
              </a:solidFill>
              <a:prstDash val="solid"/>
            </a:ln>
          </c:spPr>
          <c:marker>
            <c:symbol val="none"/>
          </c:marker>
          <c:xVal>
            <c:numLit>
              <c:formatCode>General</c:formatCode>
              <c:ptCount val="2"/>
              <c:pt idx="0">
                <c:v>-0.36987060329544641</c:v>
              </c:pt>
              <c:pt idx="1">
                <c:v>-0.61540757274418267</c:v>
              </c:pt>
            </c:numLit>
          </c:xVal>
          <c:yVal>
            <c:numLit>
              <c:formatCode>General</c:formatCode>
              <c:ptCount val="2"/>
              <c:pt idx="0">
                <c:v>1.7757227091898628E-2</c:v>
              </c:pt>
              <c:pt idx="1">
                <c:v>1.7656304724490278E-2</c:v>
              </c:pt>
            </c:numLit>
          </c:yVal>
          <c:smooth val="0"/>
          <c:extLst>
            <c:ext xmlns:c16="http://schemas.microsoft.com/office/drawing/2014/chart" uri="{C3380CC4-5D6E-409C-BE32-E72D297353CC}">
              <c16:uniqueId val="{00000026-5702-429E-880B-96B575F16006}"/>
            </c:ext>
          </c:extLst>
        </c:ser>
        <c:ser>
          <c:idx val="33"/>
          <c:order val="33"/>
          <c:spPr>
            <a:ln w="3175">
              <a:solidFill>
                <a:srgbClr val="000000"/>
              </a:solidFill>
              <a:prstDash val="solid"/>
            </a:ln>
          </c:spPr>
          <c:marker>
            <c:symbol val="none"/>
          </c:marker>
          <c:xVal>
            <c:numLit>
              <c:formatCode>General</c:formatCode>
              <c:ptCount val="2"/>
              <c:pt idx="0">
                <c:v>-0.22732433502258281</c:v>
              </c:pt>
              <c:pt idx="1">
                <c:v>-0.4695504355776039</c:v>
              </c:pt>
            </c:numLit>
          </c:xVal>
          <c:yVal>
            <c:numLit>
              <c:formatCode>General</c:formatCode>
              <c:ptCount val="2"/>
              <c:pt idx="0">
                <c:v>1.7641787604525862E-2</c:v>
              </c:pt>
              <c:pt idx="1">
                <c:v>1.7538158881410346E-2</c:v>
              </c:pt>
            </c:numLit>
          </c:yVal>
          <c:smooth val="0"/>
          <c:extLst>
            <c:ext xmlns:c16="http://schemas.microsoft.com/office/drawing/2014/chart" uri="{C3380CC4-5D6E-409C-BE32-E72D297353CC}">
              <c16:uniqueId val="{00000027-5702-429E-880B-96B575F16006}"/>
            </c:ext>
          </c:extLst>
        </c:ser>
        <c:ser>
          <c:idx val="34"/>
          <c:order val="34"/>
          <c:spPr>
            <a:ln w="3175">
              <a:solidFill>
                <a:srgbClr val="000000"/>
              </a:solidFill>
              <a:prstDash val="solid"/>
            </a:ln>
          </c:spPr>
          <c:marker>
            <c:symbol val="none"/>
          </c:marker>
          <c:xVal>
            <c:numLit>
              <c:formatCode>General</c:formatCode>
              <c:ptCount val="2"/>
              <c:pt idx="0">
                <c:v>-7.9052762068211491E-2</c:v>
              </c:pt>
              <c:pt idx="1">
                <c:v>-0.3178332470591469</c:v>
              </c:pt>
            </c:numLit>
          </c:xVal>
          <c:yVal>
            <c:numLit>
              <c:formatCode>General</c:formatCode>
              <c:ptCount val="2"/>
              <c:pt idx="0">
                <c:v>1.7526426985242163E-2</c:v>
              </c:pt>
              <c:pt idx="1">
                <c:v>1.7420092380316242E-2</c:v>
              </c:pt>
            </c:numLit>
          </c:yVal>
          <c:smooth val="0"/>
          <c:extLst>
            <c:ext xmlns:c16="http://schemas.microsoft.com/office/drawing/2014/chart" uri="{C3380CC4-5D6E-409C-BE32-E72D297353CC}">
              <c16:uniqueId val="{00000028-5702-429E-880B-96B575F16006}"/>
            </c:ext>
          </c:extLst>
        </c:ser>
        <c:ser>
          <c:idx val="35"/>
          <c:order val="35"/>
          <c:spPr>
            <a:ln w="3175">
              <a:solidFill>
                <a:srgbClr val="000000"/>
              </a:solidFill>
              <a:prstDash val="solid"/>
            </a:ln>
          </c:spPr>
          <c:marker>
            <c:symbol val="none"/>
          </c:marker>
          <c:xVal>
            <c:numLit>
              <c:formatCode>General</c:formatCode>
              <c:ptCount val="2"/>
              <c:pt idx="0">
                <c:v>7.4966418323384493E-2</c:v>
              </c:pt>
              <c:pt idx="1">
                <c:v>-0.1602330044264475</c:v>
              </c:pt>
            </c:numLit>
          </c:xVal>
          <c:yVal>
            <c:numLit>
              <c:formatCode>General</c:formatCode>
              <c:ptCount val="2"/>
              <c:pt idx="0">
                <c:v>1.741130964404472E-2</c:v>
              </c:pt>
              <c:pt idx="1">
                <c:v>1.7302273457789546E-2</c:v>
              </c:pt>
            </c:numLit>
          </c:yVal>
          <c:smooth val="0"/>
          <c:extLst>
            <c:ext xmlns:c16="http://schemas.microsoft.com/office/drawing/2014/chart" uri="{C3380CC4-5D6E-409C-BE32-E72D297353CC}">
              <c16:uniqueId val="{00000029-5702-429E-880B-96B575F16006}"/>
            </c:ext>
          </c:extLst>
        </c:ser>
        <c:ser>
          <c:idx val="36"/>
          <c:order val="36"/>
          <c:spPr>
            <a:ln w="3175">
              <a:solidFill>
                <a:srgbClr val="000000"/>
              </a:solidFill>
              <a:prstDash val="solid"/>
            </a:ln>
          </c:spPr>
          <c:marker>
            <c:symbol val="none"/>
          </c:marker>
          <c:xVal>
            <c:numLit>
              <c:formatCode>General</c:formatCode>
              <c:ptCount val="2"/>
              <c:pt idx="0">
                <c:v>0.23473609279364477</c:v>
              </c:pt>
              <c:pt idx="1">
                <c:v>-0.22826896834088628</c:v>
              </c:pt>
            </c:numLit>
          </c:xVal>
          <c:yVal>
            <c:numLit>
              <c:formatCode>General</c:formatCode>
              <c:ptCount val="2"/>
              <c:pt idx="0">
                <c:v>1.7296605936403316E-2</c:v>
              </c:pt>
              <c:pt idx="1">
                <c:v>1.7073175047315266E-2</c:v>
              </c:pt>
            </c:numLit>
          </c:yVal>
          <c:smooth val="0"/>
          <c:extLst>
            <c:ext xmlns:c16="http://schemas.microsoft.com/office/drawing/2014/chart" uri="{C3380CC4-5D6E-409C-BE32-E72D297353CC}">
              <c16:uniqueId val="{0000002A-5702-429E-880B-96B575F16006}"/>
            </c:ext>
          </c:extLst>
        </c:ser>
        <c:ser>
          <c:idx val="37"/>
          <c:order val="37"/>
          <c:spPr>
            <a:ln w="3175">
              <a:solidFill>
                <a:srgbClr val="000000"/>
              </a:solidFill>
              <a:prstDash val="solid"/>
            </a:ln>
          </c:spPr>
          <c:marker>
            <c:symbol val="none"/>
          </c:marker>
          <c:xVal>
            <c:numLit>
              <c:formatCode>General</c:formatCode>
              <c:ptCount val="2"/>
              <c:pt idx="0">
                <c:v>0.4002385389048625</c:v>
              </c:pt>
              <c:pt idx="1">
                <c:v>0.17260810625071224</c:v>
              </c:pt>
            </c:numLit>
          </c:xVal>
          <c:yVal>
            <c:numLit>
              <c:formatCode>General</c:formatCode>
              <c:ptCount val="2"/>
              <c:pt idx="0">
                <c:v>1.718249135424238E-2</c:v>
              </c:pt>
              <c:pt idx="1">
                <c:v>1.7068080935412469E-2</c:v>
              </c:pt>
            </c:numLit>
          </c:yVal>
          <c:smooth val="0"/>
          <c:extLst>
            <c:ext xmlns:c16="http://schemas.microsoft.com/office/drawing/2014/chart" uri="{C3380CC4-5D6E-409C-BE32-E72D297353CC}">
              <c16:uniqueId val="{0000002B-5702-429E-880B-96B575F16006}"/>
            </c:ext>
          </c:extLst>
        </c:ser>
        <c:ser>
          <c:idx val="38"/>
          <c:order val="38"/>
          <c:spPr>
            <a:ln w="3175">
              <a:solidFill>
                <a:srgbClr val="000000"/>
              </a:solidFill>
              <a:prstDash val="solid"/>
            </a:ln>
          </c:spPr>
          <c:marker>
            <c:symbol val="none"/>
          </c:marker>
          <c:xVal>
            <c:numLit>
              <c:formatCode>General</c:formatCode>
              <c:ptCount val="2"/>
              <c:pt idx="0">
                <c:v>0.57143436663135516</c:v>
              </c:pt>
              <c:pt idx="1">
                <c:v>0.3477909016288887</c:v>
              </c:pt>
            </c:numLit>
          </c:xVal>
          <c:yVal>
            <c:numLit>
              <c:formatCode>General</c:formatCode>
              <c:ptCount val="2"/>
              <c:pt idx="0">
                <c:v>1.7069145608728999E-2</c:v>
              </c:pt>
              <c:pt idx="1">
                <c:v>1.69520708569393E-2</c:v>
              </c:pt>
            </c:numLit>
          </c:yVal>
          <c:smooth val="0"/>
          <c:extLst>
            <c:ext xmlns:c16="http://schemas.microsoft.com/office/drawing/2014/chart" uri="{C3380CC4-5D6E-409C-BE32-E72D297353CC}">
              <c16:uniqueId val="{0000002C-5702-429E-880B-96B575F16006}"/>
            </c:ext>
          </c:extLst>
        </c:ser>
        <c:ser>
          <c:idx val="39"/>
          <c:order val="39"/>
          <c:spPr>
            <a:ln w="3175">
              <a:solidFill>
                <a:srgbClr val="000000"/>
              </a:solidFill>
              <a:prstDash val="solid"/>
            </a:ln>
          </c:spPr>
          <c:marker>
            <c:symbol val="none"/>
          </c:marker>
          <c:xVal>
            <c:numLit>
              <c:formatCode>General</c:formatCode>
              <c:ptCount val="2"/>
              <c:pt idx="0">
                <c:v>0.74826162166640686</c:v>
              </c:pt>
              <c:pt idx="1">
                <c:v>0.52873860093432101</c:v>
              </c:pt>
            </c:numLit>
          </c:xVal>
          <c:yVal>
            <c:numLit>
              <c:formatCode>General</c:formatCode>
              <c:ptCount val="2"/>
              <c:pt idx="0">
                <c:v>1.6956751610826919E-2</c:v>
              </c:pt>
              <c:pt idx="1">
                <c:v>1.6837033418990083E-2</c:v>
              </c:pt>
            </c:numLit>
          </c:yVal>
          <c:smooth val="0"/>
          <c:extLst>
            <c:ext xmlns:c16="http://schemas.microsoft.com/office/drawing/2014/chart" uri="{C3380CC4-5D6E-409C-BE32-E72D297353CC}">
              <c16:uniqueId val="{0000002D-5702-429E-880B-96B575F16006}"/>
            </c:ext>
          </c:extLst>
        </c:ser>
        <c:ser>
          <c:idx val="40"/>
          <c:order val="40"/>
          <c:spPr>
            <a:ln w="3175">
              <a:solidFill>
                <a:srgbClr val="000000"/>
              </a:solidFill>
              <a:prstDash val="solid"/>
            </a:ln>
          </c:spPr>
          <c:marker>
            <c:symbol val="none"/>
          </c:marker>
          <c:xVal>
            <c:numLit>
              <c:formatCode>General</c:formatCode>
              <c:ptCount val="2"/>
              <c:pt idx="0">
                <c:v>0.93063507689999891</c:v>
              </c:pt>
              <c:pt idx="1">
                <c:v>0.71536416919726209</c:v>
              </c:pt>
            </c:numLit>
          </c:xVal>
          <c:yVal>
            <c:numLit>
              <c:formatCode>General</c:formatCode>
              <c:ptCount val="2"/>
              <c:pt idx="0">
                <c:v>1.6845494358290521E-2</c:v>
              </c:pt>
              <c:pt idx="1">
                <c:v>1.672315797889843E-2</c:v>
              </c:pt>
            </c:numLit>
          </c:yVal>
          <c:smooth val="0"/>
          <c:extLst>
            <c:ext xmlns:c16="http://schemas.microsoft.com/office/drawing/2014/chart" uri="{C3380CC4-5D6E-409C-BE32-E72D297353CC}">
              <c16:uniqueId val="{0000002E-5702-429E-880B-96B575F16006}"/>
            </c:ext>
          </c:extLst>
        </c:ser>
        <c:ser>
          <c:idx val="41"/>
          <c:order val="41"/>
          <c:spPr>
            <a:ln w="3175">
              <a:solidFill>
                <a:srgbClr val="000000"/>
              </a:solidFill>
              <a:prstDash val="solid"/>
            </a:ln>
          </c:spPr>
          <c:marker>
            <c:symbol val="none"/>
          </c:marker>
          <c:xVal>
            <c:numLit>
              <c:formatCode>General</c:formatCode>
              <c:ptCount val="2"/>
              <c:pt idx="0">
                <c:v>1.1184457365706164</c:v>
              </c:pt>
              <c:pt idx="1">
                <c:v>0.6966215516787162</c:v>
              </c:pt>
            </c:numLit>
          </c:xVal>
          <c:yVal>
            <c:numLit>
              <c:formatCode>General</c:formatCode>
              <c:ptCount val="2"/>
              <c:pt idx="0">
                <c:v>1.6735559740501903E-2</c:v>
              </c:pt>
              <c:pt idx="1">
                <c:v>1.6485735933857066E-2</c:v>
              </c:pt>
            </c:numLit>
          </c:yVal>
          <c:smooth val="0"/>
          <c:extLst>
            <c:ext xmlns:c16="http://schemas.microsoft.com/office/drawing/2014/chart" uri="{C3380CC4-5D6E-409C-BE32-E72D297353CC}">
              <c16:uniqueId val="{0000002F-5702-429E-880B-96B575F16006}"/>
            </c:ext>
          </c:extLst>
        </c:ser>
        <c:ser>
          <c:idx val="42"/>
          <c:order val="42"/>
          <c:spPr>
            <a:ln w="3175">
              <a:solidFill>
                <a:srgbClr val="000000"/>
              </a:solidFill>
              <a:prstDash val="solid"/>
            </a:ln>
          </c:spPr>
          <c:marker>
            <c:symbol val="none"/>
          </c:marker>
          <c:dLbls>
            <c:dLbl>
              <c:idx val="0"/>
              <c:tx>
                <c:rich>
                  <a:bodyPr rot="-27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5702-429E-880B-96B575F160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-6.8202228572897643E-3</c:v>
              </c:pt>
            </c:numLit>
          </c:xVal>
          <c:yVal>
            <c:numLit>
              <c:formatCode>General</c:formatCode>
              <c:ptCount val="1"/>
              <c:pt idx="0">
                <c:v>1.6069594324504367E-2</c:v>
              </c:pt>
            </c:numLit>
          </c:yVal>
          <c:smooth val="0"/>
          <c:extLst>
            <c:ext xmlns:c16="http://schemas.microsoft.com/office/drawing/2014/chart" uri="{C3380CC4-5D6E-409C-BE32-E72D297353CC}">
              <c16:uniqueId val="{00000031-5702-429E-880B-96B575F16006}"/>
            </c:ext>
          </c:extLst>
        </c:ser>
        <c:ser>
          <c:idx val="43"/>
          <c:order val="43"/>
          <c:spPr>
            <a:ln w="3175">
              <a:solidFill>
                <a:srgbClr val="000000"/>
              </a:solidFill>
              <a:prstDash val="solid"/>
            </a:ln>
          </c:spPr>
          <c:marker>
            <c:symbol val="none"/>
          </c:marker>
          <c:xVal>
            <c:numLit>
              <c:formatCode>General</c:formatCode>
              <c:ptCount val="2"/>
              <c:pt idx="0">
                <c:v>1.3115605748732164</c:v>
              </c:pt>
              <c:pt idx="1">
                <c:v>1.1051788551385036</c:v>
              </c:pt>
            </c:numLit>
          </c:xVal>
          <c:yVal>
            <c:numLit>
              <c:formatCode>General</c:formatCode>
              <c:ptCount val="2"/>
              <c:pt idx="0">
                <c:v>1.6627133275199924E-2</c:v>
              </c:pt>
              <c:pt idx="1">
                <c:v>1.6499653848856374E-2</c:v>
              </c:pt>
            </c:numLit>
          </c:yVal>
          <c:smooth val="0"/>
          <c:extLst>
            <c:ext xmlns:c16="http://schemas.microsoft.com/office/drawing/2014/chart" uri="{C3380CC4-5D6E-409C-BE32-E72D297353CC}">
              <c16:uniqueId val="{00000032-5702-429E-880B-96B575F16006}"/>
            </c:ext>
          </c:extLst>
        </c:ser>
        <c:ser>
          <c:idx val="44"/>
          <c:order val="44"/>
          <c:spPr>
            <a:ln w="3175">
              <a:solidFill>
                <a:srgbClr val="000000"/>
              </a:solidFill>
              <a:prstDash val="solid"/>
            </a:ln>
          </c:spPr>
          <c:marker>
            <c:symbol val="none"/>
          </c:marker>
          <c:xVal>
            <c:numLit>
              <c:formatCode>General</c:formatCode>
              <c:ptCount val="2"/>
              <c:pt idx="0">
                <c:v>1.5098225272274659</c:v>
              </c:pt>
              <c:pt idx="1">
                <c:v>1.3080714341680577</c:v>
              </c:pt>
            </c:numLit>
          </c:xVal>
          <c:yVal>
            <c:numLit>
              <c:formatCode>General</c:formatCode>
              <c:ptCount val="2"/>
              <c:pt idx="0">
                <c:v>1.6520398793608795E-2</c:v>
              </c:pt>
              <c:pt idx="1">
                <c:v>1.6390403269461305E-2</c:v>
              </c:pt>
            </c:numLit>
          </c:yVal>
          <c:smooth val="0"/>
          <c:extLst>
            <c:ext xmlns:c16="http://schemas.microsoft.com/office/drawing/2014/chart" uri="{C3380CC4-5D6E-409C-BE32-E72D297353CC}">
              <c16:uniqueId val="{00000033-5702-429E-880B-96B575F16006}"/>
            </c:ext>
          </c:extLst>
        </c:ser>
        <c:ser>
          <c:idx val="45"/>
          <c:order val="45"/>
          <c:spPr>
            <a:ln w="3175">
              <a:solidFill>
                <a:srgbClr val="000000"/>
              </a:solidFill>
              <a:prstDash val="solid"/>
            </a:ln>
          </c:spPr>
          <c:marker>
            <c:symbol val="none"/>
          </c:marker>
          <c:xVal>
            <c:numLit>
              <c:formatCode>General</c:formatCode>
              <c:ptCount val="2"/>
              <c:pt idx="0">
                <c:v>1.7130507480293573</c:v>
              </c:pt>
              <c:pt idx="1">
                <c:v>1.5160490549139738</c:v>
              </c:pt>
            </c:numLit>
          </c:xVal>
          <c:yVal>
            <c:numLit>
              <c:formatCode>General</c:formatCode>
              <c:ptCount val="2"/>
              <c:pt idx="0">
                <c:v>1.6415537092638557E-2</c:v>
              </c:pt>
              <c:pt idx="1">
                <c:v>1.6283068183574848E-2</c:v>
              </c:pt>
            </c:numLit>
          </c:yVal>
          <c:smooth val="0"/>
          <c:extLst>
            <c:ext xmlns:c16="http://schemas.microsoft.com/office/drawing/2014/chart" uri="{C3380CC4-5D6E-409C-BE32-E72D297353CC}">
              <c16:uniqueId val="{00000034-5702-429E-880B-96B575F16006}"/>
            </c:ext>
          </c:extLst>
        </c:ser>
        <c:ser>
          <c:idx val="46"/>
          <c:order val="46"/>
          <c:spPr>
            <a:ln w="3175">
              <a:solidFill>
                <a:srgbClr val="000000"/>
              </a:solidFill>
              <a:prstDash val="solid"/>
            </a:ln>
          </c:spPr>
          <c:marker>
            <c:symbol val="none"/>
          </c:marker>
          <c:xVal>
            <c:numLit>
              <c:formatCode>General</c:formatCode>
              <c:ptCount val="2"/>
              <c:pt idx="0">
                <c:v>1.9210411436202248</c:v>
              </c:pt>
              <c:pt idx="1">
                <c:v>1.7289029870601262</c:v>
              </c:pt>
            </c:numLit>
          </c:xVal>
          <c:yVal>
            <c:numLit>
              <c:formatCode>General</c:formatCode>
              <c:ptCount val="2"/>
              <c:pt idx="0">
                <c:v>1.6312724574597339E-2</c:v>
              </c:pt>
              <c:pt idx="1">
                <c:v>1.6177829208056389E-2</c:v>
              </c:pt>
            </c:numLit>
          </c:yVal>
          <c:smooth val="0"/>
          <c:extLst>
            <c:ext xmlns:c16="http://schemas.microsoft.com/office/drawing/2014/chart" uri="{C3380CC4-5D6E-409C-BE32-E72D297353CC}">
              <c16:uniqueId val="{00000035-5702-429E-880B-96B575F16006}"/>
            </c:ext>
          </c:extLst>
        </c:ser>
        <c:ser>
          <c:idx val="47"/>
          <c:order val="47"/>
          <c:spPr>
            <a:ln w="3175">
              <a:solidFill>
                <a:srgbClr val="000000"/>
              </a:solidFill>
              <a:prstDash val="solid"/>
            </a:ln>
          </c:spPr>
          <c:marker>
            <c:symbol val="none"/>
          </c:marker>
          <c:xVal>
            <c:numLit>
              <c:formatCode>General</c:formatCode>
              <c:ptCount val="2"/>
              <c:pt idx="0">
                <c:v>2.1335671835455554</c:v>
              </c:pt>
              <c:pt idx="1">
                <c:v>1.759187496502044</c:v>
              </c:pt>
            </c:numLit>
          </c:xVal>
          <c:yVal>
            <c:numLit>
              <c:formatCode>General</c:formatCode>
              <c:ptCount val="2"/>
              <c:pt idx="0">
                <c:v>1.6212131896132173E-2</c:v>
              </c:pt>
              <c:pt idx="1">
                <c:v>1.5937612788083543E-2</c:v>
              </c:pt>
            </c:numLit>
          </c:yVal>
          <c:smooth val="0"/>
          <c:extLst>
            <c:ext xmlns:c16="http://schemas.microsoft.com/office/drawing/2014/chart" uri="{C3380CC4-5D6E-409C-BE32-E72D297353CC}">
              <c16:uniqueId val="{00000036-5702-429E-880B-96B575F16006}"/>
            </c:ext>
          </c:extLst>
        </c:ser>
        <c:ser>
          <c:idx val="48"/>
          <c:order val="48"/>
          <c:spPr>
            <a:ln w="3175">
              <a:solidFill>
                <a:srgbClr val="000000"/>
              </a:solidFill>
              <a:prstDash val="solid"/>
            </a:ln>
          </c:spPr>
          <c:marker>
            <c:symbol val="none"/>
          </c:marker>
          <c:xVal>
            <c:numLit>
              <c:formatCode>General</c:formatCode>
              <c:ptCount val="2"/>
              <c:pt idx="0">
                <c:v>2.3503809871144412</c:v>
              </c:pt>
              <c:pt idx="1">
                <c:v>2.1682910835867619</c:v>
              </c:pt>
            </c:numLit>
          </c:xVal>
          <c:yVal>
            <c:numLit>
              <c:formatCode>General</c:formatCode>
              <c:ptCount val="2"/>
              <c:pt idx="0">
                <c:v>1.6113922648822755E-2</c:v>
              </c:pt>
              <c:pt idx="1">
                <c:v>1.597433135278007E-2</c:v>
              </c:pt>
            </c:numLit>
          </c:yVal>
          <c:smooth val="0"/>
          <c:extLst>
            <c:ext xmlns:c16="http://schemas.microsoft.com/office/drawing/2014/chart" uri="{C3380CC4-5D6E-409C-BE32-E72D297353CC}">
              <c16:uniqueId val="{00000037-5702-429E-880B-96B575F16006}"/>
            </c:ext>
          </c:extLst>
        </c:ser>
        <c:ser>
          <c:idx val="49"/>
          <c:order val="49"/>
          <c:spPr>
            <a:ln w="3175">
              <a:solidFill>
                <a:srgbClr val="000000"/>
              </a:solidFill>
              <a:prstDash val="solid"/>
            </a:ln>
          </c:spPr>
          <c:marker>
            <c:symbol val="none"/>
          </c:marker>
          <c:xVal>
            <c:numLit>
              <c:formatCode>General</c:formatCode>
              <c:ptCount val="2"/>
              <c:pt idx="0">
                <c:v>2.5712146760104488</c:v>
              </c:pt>
              <c:pt idx="1">
                <c:v>2.3942976092307946</c:v>
              </c:pt>
            </c:numLit>
          </c:xVal>
          <c:yVal>
            <c:numLit>
              <c:formatCode>General</c:formatCode>
              <c:ptCount val="2"/>
              <c:pt idx="0">
                <c:v>1.6018252093934263E-2</c:v>
              </c:pt>
              <c:pt idx="1">
                <c:v>1.5876399005580761E-2</c:v>
              </c:pt>
            </c:numLit>
          </c:yVal>
          <c:smooth val="0"/>
          <c:extLst>
            <c:ext xmlns:c16="http://schemas.microsoft.com/office/drawing/2014/chart" uri="{C3380CC4-5D6E-409C-BE32-E72D297353CC}">
              <c16:uniqueId val="{00000038-5702-429E-880B-96B575F16006}"/>
            </c:ext>
          </c:extLst>
        </c:ser>
        <c:ser>
          <c:idx val="50"/>
          <c:order val="50"/>
          <c:spPr>
            <a:ln w="3175">
              <a:solidFill>
                <a:srgbClr val="000000"/>
              </a:solidFill>
              <a:prstDash val="solid"/>
            </a:ln>
          </c:spPr>
          <c:marker>
            <c:symbol val="none"/>
          </c:marker>
          <c:xVal>
            <c:numLit>
              <c:formatCode>General</c:formatCode>
              <c:ptCount val="2"/>
              <c:pt idx="0">
                <c:v>2.7957819774700581</c:v>
              </c:pt>
              <c:pt idx="1">
                <c:v>2.6241281906268132</c:v>
              </c:pt>
            </c:numLit>
          </c:xVal>
          <c:yVal>
            <c:numLit>
              <c:formatCode>General</c:formatCode>
              <c:ptCount val="2"/>
              <c:pt idx="0">
                <c:v>1.5925265973259006E-2</c:v>
              </c:pt>
              <c:pt idx="1">
                <c:v>1.5781213319665928E-2</c:v>
              </c:pt>
            </c:numLit>
          </c:yVal>
          <c:smooth val="0"/>
          <c:extLst>
            <c:ext xmlns:c16="http://schemas.microsoft.com/office/drawing/2014/chart" uri="{C3380CC4-5D6E-409C-BE32-E72D297353CC}">
              <c16:uniqueId val="{00000039-5702-429E-880B-96B575F16006}"/>
            </c:ext>
          </c:extLst>
        </c:ser>
        <c:ser>
          <c:idx val="51"/>
          <c:order val="51"/>
          <c:spPr>
            <a:ln w="3175">
              <a:solidFill>
                <a:srgbClr val="000000"/>
              </a:solidFill>
              <a:prstDash val="solid"/>
            </a:ln>
          </c:spPr>
          <c:marker>
            <c:symbol val="none"/>
          </c:marker>
          <c:xVal>
            <c:numLit>
              <c:formatCode>General</c:formatCode>
              <c:ptCount val="2"/>
              <c:pt idx="0">
                <c:v>3.0237800565671451</c:v>
              </c:pt>
              <c:pt idx="1">
                <c:v>2.8574729471046818</c:v>
              </c:pt>
            </c:numLit>
          </c:xVal>
          <c:yVal>
            <c:numLit>
              <c:formatCode>General</c:formatCode>
              <c:ptCount val="2"/>
              <c:pt idx="0">
                <c:v>1.5835099416740148E-2</c:v>
              </c:pt>
              <c:pt idx="1">
                <c:v>1.5688912711800194E-2</c:v>
              </c:pt>
            </c:numLit>
          </c:yVal>
          <c:smooth val="0"/>
          <c:extLst>
            <c:ext xmlns:c16="http://schemas.microsoft.com/office/drawing/2014/chart" uri="{C3380CC4-5D6E-409C-BE32-E72D297353CC}">
              <c16:uniqueId val="{0000003A-5702-429E-880B-96B575F16006}"/>
            </c:ext>
          </c:extLst>
        </c:ser>
        <c:ser>
          <c:idx val="52"/>
          <c:order val="52"/>
          <c:spPr>
            <a:ln w="3175">
              <a:solidFill>
                <a:srgbClr val="000000"/>
              </a:solidFill>
              <a:prstDash val="solid"/>
            </a:ln>
          </c:spPr>
          <c:marker>
            <c:symbol val="none"/>
          </c:marker>
          <c:xVal>
            <c:numLit>
              <c:formatCode>General</c:formatCode>
              <c:ptCount val="2"/>
              <c:pt idx="0">
                <c:v>3.2548915506512488</c:v>
              </c:pt>
              <c:pt idx="1">
                <c:v>2.9330742375336936</c:v>
              </c:pt>
            </c:numLit>
          </c:xVal>
          <c:yVal>
            <c:numLit>
              <c:formatCode>General</c:formatCode>
              <c:ptCount val="2"/>
              <c:pt idx="0">
                <c:v>1.574787596570108E-2</c:v>
              </c:pt>
              <c:pt idx="1">
                <c:v>1.5451389454634493E-2</c:v>
              </c:pt>
            </c:numLit>
          </c:yVal>
          <c:smooth val="0"/>
          <c:extLst>
            <c:ext xmlns:c16="http://schemas.microsoft.com/office/drawing/2014/chart" uri="{C3380CC4-5D6E-409C-BE32-E72D297353CC}">
              <c16:uniqueId val="{0000003B-5702-429E-880B-96B575F16006}"/>
            </c:ext>
          </c:extLst>
        </c:ser>
        <c:ser>
          <c:idx val="53"/>
          <c:order val="53"/>
          <c:spPr>
            <a:ln w="3175">
              <a:solidFill>
                <a:srgbClr val="000000"/>
              </a:solidFill>
              <a:prstDash val="solid"/>
            </a:ln>
          </c:spPr>
          <c:marker>
            <c:symbol val="none"/>
          </c:marker>
          <c:dLbls>
            <c:dLbl>
              <c:idx val="0"/>
              <c:tx>
                <c:rich>
                  <a:bodyPr rot="-34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C-5702-429E-880B-96B575F160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2.3962817646571821</c:v>
              </c:pt>
            </c:numLit>
          </c:xVal>
          <c:yVal>
            <c:numLit>
              <c:formatCode>General</c:formatCode>
              <c:ptCount val="1"/>
              <c:pt idx="0">
                <c:v>1.4957404703642478E-2</c:v>
              </c:pt>
            </c:numLit>
          </c:yVal>
          <c:smooth val="0"/>
          <c:extLst>
            <c:ext xmlns:c16="http://schemas.microsoft.com/office/drawing/2014/chart" uri="{C3380CC4-5D6E-409C-BE32-E72D297353CC}">
              <c16:uniqueId val="{0000003D-5702-429E-880B-96B575F16006}"/>
            </c:ext>
          </c:extLst>
        </c:ser>
        <c:ser>
          <c:idx val="54"/>
          <c:order val="54"/>
          <c:spPr>
            <a:ln w="3175">
              <a:solidFill>
                <a:srgbClr val="000000"/>
              </a:solidFill>
              <a:prstDash val="solid"/>
            </a:ln>
          </c:spPr>
          <c:marker>
            <c:symbol val="none"/>
          </c:marker>
          <c:xVal>
            <c:numLit>
              <c:formatCode>General</c:formatCode>
              <c:ptCount val="45"/>
              <c:pt idx="0">
                <c:v>-2.7260000000000009</c:v>
              </c:pt>
              <c:pt idx="1">
                <c:v>-2.7177909810751162</c:v>
              </c:pt>
              <c:pt idx="2">
                <c:v>-2.6895353150758101</c:v>
              </c:pt>
              <c:pt idx="3">
                <c:v>-2.6346117216472611</c:v>
              </c:pt>
              <c:pt idx="4">
                <c:v>-2.5445387090126976</c:v>
              </c:pt>
              <c:pt idx="5">
                <c:v>-2.4963528727178703</c:v>
              </c:pt>
              <c:pt idx="6">
                <c:v>-2.4400654250285116</c:v>
              </c:pt>
              <c:pt idx="7">
                <c:v>-2.3748159661072097</c:v>
              </c:pt>
              <c:pt idx="8">
                <c:v>-2.2996773441593268</c:v>
              </c:pt>
              <c:pt idx="9">
                <c:v>-2.2136568791203377</c:v>
              </c:pt>
              <c:pt idx="10">
                <c:v>-2.1156997602364047</c:v>
              </c:pt>
              <c:pt idx="11">
                <c:v>-2.0046951759853218</c:v>
              </c:pt>
              <c:pt idx="12">
                <c:v>-1.8794857811577035</c:v>
              </c:pt>
              <c:pt idx="13">
                <c:v>-1.7388811228433756</c:v>
              </c:pt>
              <c:pt idx="14">
                <c:v>-1.5816756183050091</c:v>
              </c:pt>
              <c:pt idx="15">
                <c:v>-1.4964722249073321</c:v>
              </c:pt>
              <c:pt idx="16">
                <c:v>-1.4066715844745405</c:v>
              </c:pt>
              <c:pt idx="17">
                <c:v>-1.3121298811095559</c:v>
              </c:pt>
              <c:pt idx="18">
                <c:v>-1.2127076414501079</c:v>
              </c:pt>
              <c:pt idx="19">
                <c:v>-1.1082709156214365</c:v>
              </c:pt>
              <c:pt idx="20">
                <c:v>-0.99869253347946507</c:v>
              </c:pt>
              <c:pt idx="21">
                <c:v>-0.88385342855755644</c:v>
              </c:pt>
              <c:pt idx="22">
                <c:v>-0.76364401977639196</c:v>
              </c:pt>
              <c:pt idx="23">
                <c:v>-0.63796563849307575</c:v>
              </c:pt>
              <c:pt idx="24">
                <c:v>-0.50673198590884305</c:v>
              </c:pt>
              <c:pt idx="25">
                <c:v>-0.36987060329544641</c:v>
              </c:pt>
              <c:pt idx="26">
                <c:v>-0.22732433502258281</c:v>
              </c:pt>
              <c:pt idx="27">
                <c:v>-7.9052762068211491E-2</c:v>
              </c:pt>
              <c:pt idx="28">
                <c:v>7.4966418323384493E-2</c:v>
              </c:pt>
              <c:pt idx="29">
                <c:v>0.23473609279364477</c:v>
              </c:pt>
              <c:pt idx="30">
                <c:v>0.4002385389048625</c:v>
              </c:pt>
              <c:pt idx="31">
                <c:v>0.57143436663135516</c:v>
              </c:pt>
              <c:pt idx="32">
                <c:v>0.74826162166640686</c:v>
              </c:pt>
              <c:pt idx="33">
                <c:v>0.93063507689999891</c:v>
              </c:pt>
              <c:pt idx="34">
                <c:v>1.1184457365706164</c:v>
              </c:pt>
              <c:pt idx="35">
                <c:v>1.3115605748732164</c:v>
              </c:pt>
              <c:pt idx="36">
                <c:v>1.5098225272274659</c:v>
              </c:pt>
              <c:pt idx="37">
                <c:v>1.7130507480293573</c:v>
              </c:pt>
              <c:pt idx="38">
                <c:v>1.9210411436202248</c:v>
              </c:pt>
              <c:pt idx="39">
                <c:v>2.1335671835455554</c:v>
              </c:pt>
              <c:pt idx="40">
                <c:v>2.3503809871144412</c:v>
              </c:pt>
              <c:pt idx="41">
                <c:v>2.5712146760104488</c:v>
              </c:pt>
              <c:pt idx="42">
                <c:v>2.7957819774700581</c:v>
              </c:pt>
              <c:pt idx="43">
                <c:v>3.0237800565671451</c:v>
              </c:pt>
              <c:pt idx="44">
                <c:v>3.2548915506512488</c:v>
              </c:pt>
            </c:numLit>
          </c:xVal>
          <c:yVal>
            <c:numLit>
              <c:formatCode>General</c:formatCode>
              <c:ptCount val="45"/>
              <c:pt idx="0">
                <c:v>2.2089999999999999E-2</c:v>
              </c:pt>
              <c:pt idx="1">
                <c:v>2.1821645982098278E-2</c:v>
              </c:pt>
              <c:pt idx="2">
                <c:v>2.1524726243134527E-2</c:v>
              </c:pt>
              <c:pt idx="3">
                <c:v>2.1196075596898574E-2</c:v>
              </c:pt>
              <c:pt idx="4">
                <c:v>2.0832582727766315E-2</c:v>
              </c:pt>
              <c:pt idx="5">
                <c:v>2.067679262206713E-2</c:v>
              </c:pt>
              <c:pt idx="6">
                <c:v>2.0514833672442077E-2</c:v>
              </c:pt>
              <c:pt idx="7">
                <c:v>2.0346588029398295E-2</c:v>
              </c:pt>
              <c:pt idx="8">
                <c:v>2.0171973201727773E-2</c:v>
              </c:pt>
              <c:pt idx="9">
                <c:v>1.9990950699639853E-2</c:v>
              </c:pt>
              <c:pt idx="10">
                <c:v>1.9803535709313494E-2</c:v>
              </c:pt>
              <c:pt idx="11">
                <c:v>1.960980771918288E-2</c:v>
              </c:pt>
              <c:pt idx="12">
                <c:v>1.9409921932302902E-2</c:v>
              </c:pt>
              <c:pt idx="13">
                <c:v>1.9204121190043315E-2</c:v>
              </c:pt>
              <c:pt idx="14">
                <c:v>1.8992748000650445E-2</c:v>
              </c:pt>
              <c:pt idx="15">
                <c:v>1.8885108894028058E-2</c:v>
              </c:pt>
              <c:pt idx="16">
                <c:v>1.8776256115799778E-2</c:v>
              </c:pt>
              <c:pt idx="17">
                <c:v>1.8666265476870125E-2</c:v>
              </c:pt>
              <c:pt idx="18">
                <c:v>1.8555220937788677E-2</c:v>
              </c:pt>
              <c:pt idx="19">
                <c:v>1.8443214807137009E-2</c:v>
              </c:pt>
              <c:pt idx="20">
                <c:v>1.8330347884092039E-2</c:v>
              </c:pt>
              <c:pt idx="21">
                <c:v>1.8216729536511021E-2</c:v>
              </c:pt>
              <c:pt idx="22">
                <c:v>1.8102477705882948E-2</c:v>
              </c:pt>
              <c:pt idx="23">
                <c:v>1.7987718830706271E-2</c:v>
              </c:pt>
              <c:pt idx="24">
                <c:v>1.7872587680313686E-2</c:v>
              </c:pt>
              <c:pt idx="25">
                <c:v>1.7757227091898628E-2</c:v>
              </c:pt>
              <c:pt idx="26">
                <c:v>1.7641787604525862E-2</c:v>
              </c:pt>
              <c:pt idx="27">
                <c:v>1.7526426985242163E-2</c:v>
              </c:pt>
              <c:pt idx="28">
                <c:v>1.741130964404472E-2</c:v>
              </c:pt>
              <c:pt idx="29">
                <c:v>1.7296605936403316E-2</c:v>
              </c:pt>
              <c:pt idx="30">
                <c:v>1.718249135424238E-2</c:v>
              </c:pt>
              <c:pt idx="31">
                <c:v>1.7069145608728999E-2</c:v>
              </c:pt>
              <c:pt idx="32">
                <c:v>1.6956751610826919E-2</c:v>
              </c:pt>
              <c:pt idx="33">
                <c:v>1.6845494358290521E-2</c:v>
              </c:pt>
              <c:pt idx="34">
                <c:v>1.6735559740501903E-2</c:v>
              </c:pt>
              <c:pt idx="35">
                <c:v>1.6627133275199924E-2</c:v>
              </c:pt>
              <c:pt idx="36">
                <c:v>1.6520398793608795E-2</c:v>
              </c:pt>
              <c:pt idx="37">
                <c:v>1.6415537092638557E-2</c:v>
              </c:pt>
              <c:pt idx="38">
                <c:v>1.6312724574597339E-2</c:v>
              </c:pt>
              <c:pt idx="39">
                <c:v>1.6212131896132173E-2</c:v>
              </c:pt>
              <c:pt idx="40">
                <c:v>1.6113922648822755E-2</c:v>
              </c:pt>
              <c:pt idx="41">
                <c:v>1.6018252093934263E-2</c:v>
              </c:pt>
              <c:pt idx="42">
                <c:v>1.5925265973259006E-2</c:v>
              </c:pt>
              <c:pt idx="43">
                <c:v>1.5835099416740148E-2</c:v>
              </c:pt>
              <c:pt idx="44">
                <c:v>1.574787596570108E-2</c:v>
              </c:pt>
            </c:numLit>
          </c:yVal>
          <c:smooth val="1"/>
          <c:extLst>
            <c:ext xmlns:c16="http://schemas.microsoft.com/office/drawing/2014/chart" uri="{C3380CC4-5D6E-409C-BE32-E72D297353CC}">
              <c16:uniqueId val="{0000003E-5702-429E-880B-96B575F16006}"/>
            </c:ext>
          </c:extLst>
        </c:ser>
        <c:ser>
          <c:idx val="55"/>
          <c:order val="55"/>
          <c:spPr>
            <a:ln w="3175">
              <a:solidFill>
                <a:srgbClr val="000000"/>
              </a:solidFill>
              <a:prstDash val="solid"/>
            </a:ln>
          </c:spPr>
          <c:marker>
            <c:symbol val="none"/>
          </c:marker>
          <c:xVal>
            <c:numLit>
              <c:formatCode>General</c:formatCode>
              <c:ptCount val="2"/>
              <c:pt idx="0">
                <c:v>-5.9260000000000002</c:v>
              </c:pt>
              <c:pt idx="1">
                <c:v>-5.3260000000000005</c:v>
              </c:pt>
            </c:numLit>
          </c:xVal>
          <c:yVal>
            <c:numLit>
              <c:formatCode>General</c:formatCode>
              <c:ptCount val="2"/>
              <c:pt idx="0">
                <c:v>2.2089999999999999E-2</c:v>
              </c:pt>
              <c:pt idx="1">
                <c:v>2.2089999999999999E-2</c:v>
              </c:pt>
            </c:numLit>
          </c:yVal>
          <c:smooth val="0"/>
          <c:extLst>
            <c:ext xmlns:c16="http://schemas.microsoft.com/office/drawing/2014/chart" uri="{C3380CC4-5D6E-409C-BE32-E72D297353CC}">
              <c16:uniqueId val="{0000003F-5702-429E-880B-96B575F16006}"/>
            </c:ext>
          </c:extLst>
        </c:ser>
        <c:ser>
          <c:idx val="56"/>
          <c:order val="56"/>
          <c:spPr>
            <a:ln w="3175">
              <a:solidFill>
                <a:srgbClr val="000000"/>
              </a:solidFill>
              <a:prstDash val="solid"/>
            </a:ln>
          </c:spPr>
          <c:marker>
            <c:symbol val="none"/>
          </c:marker>
          <c:xVal>
            <c:numLit>
              <c:formatCode>General</c:formatCode>
              <c:ptCount val="2"/>
              <c:pt idx="0">
                <c:v>-5.9157850232040214</c:v>
              </c:pt>
              <c:pt idx="1">
                <c:v>-5.6159723081394297</c:v>
              </c:pt>
            </c:numLit>
          </c:xVal>
          <c:yVal>
            <c:numLit>
              <c:formatCode>General</c:formatCode>
              <c:ptCount val="2"/>
              <c:pt idx="0">
                <c:v>2.1755314816450745E-2</c:v>
              </c:pt>
              <c:pt idx="1">
                <c:v>2.1761520636873918E-2</c:v>
              </c:pt>
            </c:numLit>
          </c:yVal>
          <c:smooth val="0"/>
          <c:extLst>
            <c:ext xmlns:c16="http://schemas.microsoft.com/office/drawing/2014/chart" uri="{C3380CC4-5D6E-409C-BE32-E72D297353CC}">
              <c16:uniqueId val="{00000040-5702-429E-880B-96B575F16006}"/>
            </c:ext>
          </c:extLst>
        </c:ser>
        <c:ser>
          <c:idx val="57"/>
          <c:order val="57"/>
          <c:spPr>
            <a:ln w="3175">
              <a:solidFill>
                <a:srgbClr val="000000"/>
              </a:solidFill>
              <a:prstDash val="solid"/>
            </a:ln>
          </c:spPr>
          <c:marker>
            <c:symbol val="none"/>
          </c:marker>
          <c:xVal>
            <c:numLit>
              <c:formatCode>General</c:formatCode>
              <c:ptCount val="2"/>
              <c:pt idx="0">
                <c:v>-5.8806241179947172</c:v>
              </c:pt>
              <c:pt idx="1">
                <c:v>-5.282288823498658</c:v>
              </c:pt>
            </c:numLit>
          </c:xVal>
          <c:yVal>
            <c:numLit>
              <c:formatCode>General</c:formatCode>
              <c:ptCount val="2"/>
              <c:pt idx="0">
                <c:v>2.1384996082539305E-2</c:v>
              </c:pt>
              <c:pt idx="1">
                <c:v>2.1411147617006382E-2</c:v>
              </c:pt>
            </c:numLit>
          </c:yVal>
          <c:smooth val="0"/>
          <c:extLst>
            <c:ext xmlns:c16="http://schemas.microsoft.com/office/drawing/2014/chart" uri="{C3380CC4-5D6E-409C-BE32-E72D297353CC}">
              <c16:uniqueId val="{00000041-5702-429E-880B-96B575F16006}"/>
            </c:ext>
          </c:extLst>
        </c:ser>
        <c:ser>
          <c:idx val="58"/>
          <c:order val="58"/>
          <c:spPr>
            <a:ln w="3175">
              <a:solidFill>
                <a:srgbClr val="000000"/>
              </a:solidFill>
              <a:prstDash val="solid"/>
            </a:ln>
          </c:spPr>
          <c:marker>
            <c:symbol val="none"/>
          </c:marker>
          <c:xVal>
            <c:numLit>
              <c:formatCode>General</c:formatCode>
              <c:ptCount val="2"/>
              <c:pt idx="0">
                <c:v>-5.8122750662275262</c:v>
              </c:pt>
              <c:pt idx="1">
                <c:v>-5.514360596852411</c:v>
              </c:pt>
            </c:numLit>
          </c:xVal>
          <c:yVal>
            <c:numLit>
              <c:formatCode>General</c:formatCode>
              <c:ptCount val="2"/>
              <c:pt idx="0">
                <c:v>2.097508470329431E-2</c:v>
              </c:pt>
              <c:pt idx="1">
                <c:v>2.0995760744930144E-2</c:v>
              </c:pt>
            </c:numLit>
          </c:yVal>
          <c:smooth val="0"/>
          <c:extLst>
            <c:ext xmlns:c16="http://schemas.microsoft.com/office/drawing/2014/chart" uri="{C3380CC4-5D6E-409C-BE32-E72D297353CC}">
              <c16:uniqueId val="{00000042-5702-429E-880B-96B575F16006}"/>
            </c:ext>
          </c:extLst>
        </c:ser>
        <c:ser>
          <c:idx val="59"/>
          <c:order val="59"/>
          <c:spPr>
            <a:ln w="3175">
              <a:solidFill>
                <a:srgbClr val="000000"/>
              </a:solidFill>
              <a:prstDash val="solid"/>
            </a:ln>
          </c:spPr>
          <c:marker>
            <c:symbol val="none"/>
          </c:marker>
          <c:xVal>
            <c:numLit>
              <c:formatCode>General</c:formatCode>
              <c:ptCount val="2"/>
              <c:pt idx="0">
                <c:v>-5.7001761795465136</c:v>
              </c:pt>
              <c:pt idx="1">
                <c:v>-5.1084640846684621</c:v>
              </c:pt>
            </c:numLit>
          </c:xVal>
          <c:yVal>
            <c:numLit>
              <c:formatCode>General</c:formatCode>
              <c:ptCount val="2"/>
              <c:pt idx="0">
                <c:v>2.0521681886212954E-2</c:v>
              </c:pt>
              <c:pt idx="1">
                <c:v>2.0579871667912593E-2</c:v>
              </c:pt>
            </c:numLit>
          </c:yVal>
          <c:smooth val="0"/>
          <c:extLst>
            <c:ext xmlns:c16="http://schemas.microsoft.com/office/drawing/2014/chart" uri="{C3380CC4-5D6E-409C-BE32-E72D297353CC}">
              <c16:uniqueId val="{00000043-5702-429E-880B-96B575F16006}"/>
            </c:ext>
          </c:extLst>
        </c:ser>
        <c:ser>
          <c:idx val="60"/>
          <c:order val="60"/>
          <c:spPr>
            <a:ln w="3175">
              <a:solidFill>
                <a:srgbClr val="000000"/>
              </a:solidFill>
              <a:prstDash val="solid"/>
            </a:ln>
          </c:spPr>
          <c:marker>
            <c:symbol val="none"/>
          </c:marker>
          <c:xVal>
            <c:numLit>
              <c:formatCode>General</c:formatCode>
              <c:ptCount val="2"/>
              <c:pt idx="0">
                <c:v>-5.6402029581441493</c:v>
              </c:pt>
              <c:pt idx="1">
                <c:v>-5.3454459148022915</c:v>
              </c:pt>
            </c:numLit>
          </c:xVal>
          <c:yVal>
            <c:numLit>
              <c:formatCode>General</c:formatCode>
              <c:ptCount val="2"/>
              <c:pt idx="0">
                <c:v>2.0327342639350592E-2</c:v>
              </c:pt>
              <c:pt idx="1">
                <c:v>2.0360038811160382E-2</c:v>
              </c:pt>
            </c:numLit>
          </c:yVal>
          <c:smooth val="0"/>
          <c:extLst>
            <c:ext xmlns:c16="http://schemas.microsoft.com/office/drawing/2014/chart" uri="{C3380CC4-5D6E-409C-BE32-E72D297353CC}">
              <c16:uniqueId val="{00000044-5702-429E-880B-96B575F16006}"/>
            </c:ext>
          </c:extLst>
        </c:ser>
        <c:ser>
          <c:idx val="61"/>
          <c:order val="61"/>
          <c:spPr>
            <a:ln w="3175">
              <a:solidFill>
                <a:srgbClr val="000000"/>
              </a:solidFill>
              <a:prstDash val="solid"/>
            </a:ln>
          </c:spPr>
          <c:marker>
            <c:symbol val="none"/>
          </c:marker>
          <c:xVal>
            <c:numLit>
              <c:formatCode>General</c:formatCode>
              <c:ptCount val="2"/>
              <c:pt idx="0">
                <c:v>-5.5701424773852359</c:v>
              </c:pt>
              <c:pt idx="1">
                <c:v>-5.2766716558257443</c:v>
              </c:pt>
            </c:numLit>
          </c:xVal>
          <c:yVal>
            <c:numLit>
              <c:formatCode>General</c:formatCode>
              <c:ptCount val="2"/>
              <c:pt idx="0">
                <c:v>2.0125297151681692E-2</c:v>
              </c:pt>
              <c:pt idx="1">
                <c:v>2.0161744646822306E-2</c:v>
              </c:pt>
            </c:numLit>
          </c:yVal>
          <c:smooth val="0"/>
          <c:extLst>
            <c:ext xmlns:c16="http://schemas.microsoft.com/office/drawing/2014/chart" uri="{C3380CC4-5D6E-409C-BE32-E72D297353CC}">
              <c16:uniqueId val="{00000045-5702-429E-880B-96B575F16006}"/>
            </c:ext>
          </c:extLst>
        </c:ser>
        <c:ser>
          <c:idx val="62"/>
          <c:order val="62"/>
          <c:spPr>
            <a:ln w="3175">
              <a:solidFill>
                <a:srgbClr val="000000"/>
              </a:solidFill>
              <a:prstDash val="solid"/>
            </a:ln>
          </c:spPr>
          <c:marker>
            <c:symbol val="none"/>
          </c:marker>
          <c:xVal>
            <c:numLit>
              <c:formatCode>General</c:formatCode>
              <c:ptCount val="2"/>
              <c:pt idx="0">
                <c:v>-5.4889219545397143</c:v>
              </c:pt>
              <c:pt idx="1">
                <c:v>-5.1969427076773531</c:v>
              </c:pt>
            </c:numLit>
          </c:xVal>
          <c:yVal>
            <c:numLit>
              <c:formatCode>General</c:formatCode>
              <c:ptCount val="2"/>
              <c:pt idx="0">
                <c:v>1.9915395759737602E-2</c:v>
              </c:pt>
              <c:pt idx="1">
                <c:v>1.9955741646612627E-2</c:v>
              </c:pt>
            </c:numLit>
          </c:yVal>
          <c:smooth val="0"/>
          <c:extLst>
            <c:ext xmlns:c16="http://schemas.microsoft.com/office/drawing/2014/chart" uri="{C3380CC4-5D6E-409C-BE32-E72D297353CC}">
              <c16:uniqueId val="{00000046-5702-429E-880B-96B575F16006}"/>
            </c:ext>
          </c:extLst>
        </c:ser>
        <c:ser>
          <c:idx val="63"/>
          <c:order val="63"/>
          <c:spPr>
            <a:ln w="3175">
              <a:solidFill>
                <a:srgbClr val="000000"/>
              </a:solidFill>
              <a:prstDash val="solid"/>
            </a:ln>
          </c:spPr>
          <c:marker>
            <c:symbol val="none"/>
          </c:marker>
          <c:xVal>
            <c:numLit>
              <c:formatCode>General</c:formatCode>
              <c:ptCount val="2"/>
              <c:pt idx="0">
                <c:v>-5.3953849466356143</c:v>
              </c:pt>
              <c:pt idx="1">
                <c:v>-5.1051240808517138</c:v>
              </c:pt>
            </c:numLit>
          </c:xVal>
          <c:yVal>
            <c:numLit>
              <c:formatCode>General</c:formatCode>
              <c:ptCount val="2"/>
              <c:pt idx="0">
                <c:v>1.9697532513708805E-2</c:v>
              </c:pt>
              <c:pt idx="1">
                <c:v>1.9741926107025014E-2</c:v>
              </c:pt>
            </c:numLit>
          </c:yVal>
          <c:smooth val="0"/>
          <c:extLst>
            <c:ext xmlns:c16="http://schemas.microsoft.com/office/drawing/2014/chart" uri="{C3380CC4-5D6E-409C-BE32-E72D297353CC}">
              <c16:uniqueId val="{00000047-5702-429E-880B-96B575F16006}"/>
            </c:ext>
          </c:extLst>
        </c:ser>
        <c:ser>
          <c:idx val="64"/>
          <c:order val="64"/>
          <c:spPr>
            <a:ln w="3175">
              <a:solidFill>
                <a:srgbClr val="000000"/>
              </a:solidFill>
              <a:prstDash val="solid"/>
            </a:ln>
          </c:spPr>
          <c:marker>
            <c:symbol val="none"/>
          </c:marker>
          <c:xVal>
            <c:numLit>
              <c:formatCode>General</c:formatCode>
              <c:ptCount val="2"/>
              <c:pt idx="0">
                <c:v>-5.2882927463469294</c:v>
              </c:pt>
              <c:pt idx="1">
                <c:v>-4.7117168436966539</c:v>
              </c:pt>
            </c:numLit>
          </c:xVal>
          <c:yVal>
            <c:numLit>
              <c:formatCode>General</c:formatCode>
              <c:ptCount val="2"/>
              <c:pt idx="0">
                <c:v>1.9471655937346663E-2</c:v>
              </c:pt>
              <c:pt idx="1">
                <c:v>1.9568858715870854E-2</c:v>
              </c:pt>
            </c:numLit>
          </c:yVal>
          <c:smooth val="0"/>
          <c:extLst>
            <c:ext xmlns:c16="http://schemas.microsoft.com/office/drawing/2014/chart" uri="{C3380CC4-5D6E-409C-BE32-E72D297353CC}">
              <c16:uniqueId val="{00000048-5702-429E-880B-96B575F16006}"/>
            </c:ext>
          </c:extLst>
        </c:ser>
        <c:ser>
          <c:idx val="65"/>
          <c:order val="65"/>
          <c:spPr>
            <a:ln w="3175">
              <a:solidFill>
                <a:srgbClr val="000000"/>
              </a:solidFill>
              <a:prstDash val="solid"/>
            </a:ln>
          </c:spPr>
          <c:marker>
            <c:symbol val="none"/>
          </c:marker>
          <c:xVal>
            <c:numLit>
              <c:formatCode>General</c:formatCode>
              <c:ptCount val="2"/>
              <c:pt idx="0">
                <c:v>-5.1663284671497607</c:v>
              </c:pt>
              <c:pt idx="1">
                <c:v>-4.8802784084625186</c:v>
              </c:pt>
            </c:numLit>
          </c:xVal>
          <c:yVal>
            <c:numLit>
              <c:formatCode>General</c:formatCode>
              <c:ptCount val="2"/>
              <c:pt idx="0">
                <c:v>1.9237781085411375E-2</c:v>
              </c:pt>
              <c:pt idx="1">
                <c:v>1.9290721933673614E-2</c:v>
              </c:pt>
            </c:numLit>
          </c:yVal>
          <c:smooth val="0"/>
          <c:extLst>
            <c:ext xmlns:c16="http://schemas.microsoft.com/office/drawing/2014/chart" uri="{C3380CC4-5D6E-409C-BE32-E72D297353CC}">
              <c16:uniqueId val="{00000049-5702-429E-880B-96B575F16006}"/>
            </c:ext>
          </c:extLst>
        </c:ser>
        <c:ser>
          <c:idx val="66"/>
          <c:order val="66"/>
          <c:spPr>
            <a:ln w="3175">
              <a:solidFill>
                <a:srgbClr val="000000"/>
              </a:solidFill>
              <a:prstDash val="solid"/>
            </a:ln>
          </c:spPr>
          <c:marker>
            <c:symbol val="none"/>
          </c:marker>
          <c:xVal>
            <c:numLit>
              <c:formatCode>General</c:formatCode>
              <c:ptCount val="2"/>
              <c:pt idx="0">
                <c:v>-5.0281045149599066</c:v>
              </c:pt>
              <c:pt idx="1">
                <c:v>-4.7445973550064595</c:v>
              </c:pt>
            </c:numLit>
          </c:xVal>
          <c:yVal>
            <c:numLit>
              <c:formatCode>General</c:formatCode>
              <c:ptCount val="2"/>
              <c:pt idx="0">
                <c:v>1.8996002804199878E-2</c:v>
              </c:pt>
              <c:pt idx="1">
                <c:v>1.9053441914214587E-2</c:v>
              </c:pt>
            </c:numLit>
          </c:yVal>
          <c:smooth val="0"/>
          <c:extLst>
            <c:ext xmlns:c16="http://schemas.microsoft.com/office/drawing/2014/chart" uri="{C3380CC4-5D6E-409C-BE32-E72D297353CC}">
              <c16:uniqueId val="{0000004A-5702-429E-880B-96B575F16006}"/>
            </c:ext>
          </c:extLst>
        </c:ser>
        <c:ser>
          <c:idx val="67"/>
          <c:order val="67"/>
          <c:spPr>
            <a:ln w="3175">
              <a:solidFill>
                <a:srgbClr val="000000"/>
              </a:solidFill>
              <a:prstDash val="solid"/>
            </a:ln>
          </c:spPr>
          <c:marker>
            <c:symbol val="none"/>
          </c:marker>
          <c:xVal>
            <c:numLit>
              <c:formatCode>General</c:formatCode>
              <c:ptCount val="2"/>
              <c:pt idx="0">
                <c:v>-4.872174203436014</c:v>
              </c:pt>
              <c:pt idx="1">
                <c:v>-4.5915373736863661</c:v>
              </c:pt>
            </c:numLit>
          </c:xVal>
          <c:yVal>
            <c:numLit>
              <c:formatCode>General</c:formatCode>
              <c:ptCount val="2"/>
              <c:pt idx="0">
                <c:v>1.8746509994335987E-2</c:v>
              </c:pt>
              <c:pt idx="1">
                <c:v>1.8808593593617997E-2</c:v>
              </c:pt>
            </c:numLit>
          </c:yVal>
          <c:smooth val="0"/>
          <c:extLst>
            <c:ext xmlns:c16="http://schemas.microsoft.com/office/drawing/2014/chart" uri="{C3380CC4-5D6E-409C-BE32-E72D297353CC}">
              <c16:uniqueId val="{0000004B-5702-429E-880B-96B575F16006}"/>
            </c:ext>
          </c:extLst>
        </c:ser>
        <c:ser>
          <c:idx val="68"/>
          <c:order val="68"/>
          <c:spPr>
            <a:ln w="3175">
              <a:solidFill>
                <a:srgbClr val="000000"/>
              </a:solidFill>
              <a:prstDash val="solid"/>
            </a:ln>
          </c:spPr>
          <c:marker>
            <c:symbol val="none"/>
          </c:marker>
          <c:xVal>
            <c:numLit>
              <c:formatCode>General</c:formatCode>
              <c:ptCount val="2"/>
              <c:pt idx="0">
                <c:v>-4.6970482941596963</c:v>
              </c:pt>
              <c:pt idx="1">
                <c:v>-4.4196372549949272</c:v>
              </c:pt>
            </c:numLit>
          </c:xVal>
          <c:yVal>
            <c:numLit>
              <c:formatCode>General</c:formatCode>
              <c:ptCount val="2"/>
              <c:pt idx="0">
                <c:v>1.8489600539614334E-2</c:v>
              </c:pt>
              <c:pt idx="1">
                <c:v>1.8556469790394242E-2</c:v>
              </c:pt>
            </c:numLit>
          </c:yVal>
          <c:smooth val="0"/>
          <c:extLst>
            <c:ext xmlns:c16="http://schemas.microsoft.com/office/drawing/2014/chart" uri="{C3380CC4-5D6E-409C-BE32-E72D297353CC}">
              <c16:uniqueId val="{0000004C-5702-429E-880B-96B575F16006}"/>
            </c:ext>
          </c:extLst>
        </c:ser>
        <c:ser>
          <c:idx val="69"/>
          <c:order val="69"/>
          <c:spPr>
            <a:ln w="3175">
              <a:solidFill>
                <a:srgbClr val="000000"/>
              </a:solidFill>
              <a:prstDash val="solid"/>
            </a:ln>
          </c:spPr>
          <c:marker>
            <c:symbol val="none"/>
          </c:marker>
          <c:xVal>
            <c:numLit>
              <c:formatCode>General</c:formatCode>
              <c:ptCount val="2"/>
              <c:pt idx="0">
                <c:v>-4.5012172107705162</c:v>
              </c:pt>
              <c:pt idx="1">
                <c:v>-3.953634165867165</c:v>
              </c:pt>
            </c:numLit>
          </c:xVal>
          <c:yVal>
            <c:numLit>
              <c:formatCode>General</c:formatCode>
              <c:ptCount val="2"/>
              <c:pt idx="0">
                <c:v>1.822569640170554E-2</c:v>
              </c:pt>
              <c:pt idx="1">
                <c:v>1.8369299123357313E-2</c:v>
              </c:pt>
            </c:numLit>
          </c:yVal>
          <c:smooth val="0"/>
          <c:extLst>
            <c:ext xmlns:c16="http://schemas.microsoft.com/office/drawing/2014/chart" uri="{C3380CC4-5D6E-409C-BE32-E72D297353CC}">
              <c16:uniqueId val="{0000004D-5702-429E-880B-96B575F16006}"/>
            </c:ext>
          </c:extLst>
        </c:ser>
        <c:ser>
          <c:idx val="70"/>
          <c:order val="70"/>
          <c:spPr>
            <a:ln w="3175">
              <a:solidFill>
                <a:srgbClr val="000000"/>
              </a:solidFill>
              <a:prstDash val="solid"/>
            </a:ln>
          </c:spPr>
          <c:marker>
            <c:symbol val="none"/>
          </c:marker>
          <c:xVal>
            <c:numLit>
              <c:formatCode>General</c:formatCode>
              <c:ptCount val="2"/>
              <c:pt idx="0">
                <c:v>-4.3950668077920874</c:v>
              </c:pt>
              <c:pt idx="1">
                <c:v>-4.1232233927507842</c:v>
              </c:pt>
            </c:numLit>
          </c:xVal>
          <c:yVal>
            <c:numLit>
              <c:formatCode>General</c:formatCode>
              <c:ptCount val="2"/>
              <c:pt idx="0">
                <c:v>1.8091290727735326E-2</c:v>
              </c:pt>
              <c:pt idx="1">
                <c:v>1.816558637425349E-2</c:v>
              </c:pt>
            </c:numLit>
          </c:yVal>
          <c:smooth val="0"/>
          <c:extLst>
            <c:ext xmlns:c16="http://schemas.microsoft.com/office/drawing/2014/chart" uri="{C3380CC4-5D6E-409C-BE32-E72D297353CC}">
              <c16:uniqueId val="{0000004E-5702-429E-880B-96B575F16006}"/>
            </c:ext>
          </c:extLst>
        </c:ser>
        <c:ser>
          <c:idx val="71"/>
          <c:order val="71"/>
          <c:spPr>
            <a:ln w="3175">
              <a:solidFill>
                <a:srgbClr val="000000"/>
              </a:solidFill>
              <a:prstDash val="solid"/>
            </a:ln>
          </c:spPr>
          <c:marker>
            <c:symbol val="none"/>
          </c:marker>
          <c:xVal>
            <c:numLit>
              <c:formatCode>General</c:formatCode>
              <c:ptCount val="2"/>
              <c:pt idx="0">
                <c:v>-4.2831795643148318</c:v>
              </c:pt>
              <c:pt idx="1">
                <c:v>-4.0134006521197332</c:v>
              </c:pt>
            </c:numLit>
          </c:xVal>
          <c:yVal>
            <c:numLit>
              <c:formatCode>General</c:formatCode>
              <c:ptCount val="2"/>
              <c:pt idx="0">
                <c:v>1.7955358192567328E-2</c:v>
              </c:pt>
              <c:pt idx="1">
                <c:v>1.8032190290300169E-2</c:v>
              </c:pt>
            </c:numLit>
          </c:yVal>
          <c:smooth val="0"/>
          <c:extLst>
            <c:ext xmlns:c16="http://schemas.microsoft.com/office/drawing/2014/chart" uri="{C3380CC4-5D6E-409C-BE32-E72D297353CC}">
              <c16:uniqueId val="{0000004F-5702-429E-880B-96B575F16006}"/>
            </c:ext>
          </c:extLst>
        </c:ser>
        <c:ser>
          <c:idx val="72"/>
          <c:order val="72"/>
          <c:spPr>
            <a:ln w="3175">
              <a:solidFill>
                <a:srgbClr val="000000"/>
              </a:solidFill>
              <a:prstDash val="solid"/>
            </a:ln>
          </c:spPr>
          <c:marker>
            <c:symbol val="none"/>
          </c:marker>
          <c:xVal>
            <c:numLit>
              <c:formatCode>General</c:formatCode>
              <c:ptCount val="2"/>
              <c:pt idx="0">
                <c:v>-4.1653748706393579</c:v>
              </c:pt>
              <c:pt idx="1">
                <c:v>-3.8977705950665342</c:v>
              </c:pt>
            </c:numLit>
          </c:xVal>
          <c:yVal>
            <c:numLit>
              <c:formatCode>General</c:formatCode>
              <c:ptCount val="2"/>
              <c:pt idx="0">
                <c:v>1.7817992699349389E-2</c:v>
              </c:pt>
              <c:pt idx="1">
                <c:v>1.7897389090790902E-2</c:v>
              </c:pt>
            </c:numLit>
          </c:yVal>
          <c:smooth val="0"/>
          <c:extLst>
            <c:ext xmlns:c16="http://schemas.microsoft.com/office/drawing/2014/chart" uri="{C3380CC4-5D6E-409C-BE32-E72D297353CC}">
              <c16:uniqueId val="{00000050-5702-429E-880B-96B575F16006}"/>
            </c:ext>
          </c:extLst>
        </c:ser>
        <c:ser>
          <c:idx val="73"/>
          <c:order val="73"/>
          <c:spPr>
            <a:ln w="3175">
              <a:solidFill>
                <a:srgbClr val="000000"/>
              </a:solidFill>
              <a:prstDash val="solid"/>
            </a:ln>
          </c:spPr>
          <c:marker>
            <c:symbol val="none"/>
          </c:marker>
          <c:xVal>
            <c:numLit>
              <c:formatCode>General</c:formatCode>
              <c:ptCount val="2"/>
              <c:pt idx="0">
                <c:v>-4.0414774108177625</c:v>
              </c:pt>
              <c:pt idx="1">
                <c:v>-3.7761612819438155</c:v>
              </c:pt>
            </c:numLit>
          </c:xVal>
          <c:yVal>
            <c:numLit>
              <c:formatCode>General</c:formatCode>
              <c:ptCount val="2"/>
              <c:pt idx="0">
                <c:v>1.7679298334953648E-2</c:v>
              </c:pt>
              <c:pt idx="1">
                <c:v>1.7761284990378386E-2</c:v>
              </c:pt>
            </c:numLit>
          </c:yVal>
          <c:smooth val="0"/>
          <c:extLst>
            <c:ext xmlns:c16="http://schemas.microsoft.com/office/drawing/2014/chart" uri="{C3380CC4-5D6E-409C-BE32-E72D297353CC}">
              <c16:uniqueId val="{00000051-5702-429E-880B-96B575F16006}"/>
            </c:ext>
          </c:extLst>
        </c:ser>
        <c:ser>
          <c:idx val="74"/>
          <c:order val="74"/>
          <c:spPr>
            <a:ln w="3175">
              <a:solidFill>
                <a:srgbClr val="000000"/>
              </a:solidFill>
              <a:prstDash val="solid"/>
            </a:ln>
          </c:spPr>
          <c:marker>
            <c:symbol val="none"/>
          </c:marker>
          <c:xVal>
            <c:numLit>
              <c:formatCode>General</c:formatCode>
              <c:ptCount val="2"/>
              <c:pt idx="0">
                <c:v>-3.9113186336624519</c:v>
              </c:pt>
              <c:pt idx="1">
                <c:v>-3.3855221219320191</c:v>
              </c:pt>
            </c:numLit>
          </c:xVal>
          <c:yVal>
            <c:numLit>
              <c:formatCode>General</c:formatCode>
              <c:ptCount val="2"/>
              <c:pt idx="0">
                <c:v>1.7539389625736045E-2</c:v>
              </c:pt>
              <c:pt idx="1">
                <c:v>1.7708618709440592E-2</c:v>
              </c:pt>
            </c:numLit>
          </c:yVal>
          <c:smooth val="0"/>
          <c:extLst>
            <c:ext xmlns:c16="http://schemas.microsoft.com/office/drawing/2014/chart" uri="{C3380CC4-5D6E-409C-BE32-E72D297353CC}">
              <c16:uniqueId val="{00000052-5702-429E-880B-96B575F16006}"/>
            </c:ext>
          </c:extLst>
        </c:ser>
        <c:ser>
          <c:idx val="75"/>
          <c:order val="75"/>
          <c:spPr>
            <a:ln w="3175">
              <a:solidFill>
                <a:srgbClr val="000000"/>
              </a:solidFill>
              <a:prstDash val="solid"/>
            </a:ln>
          </c:spPr>
          <c:marker>
            <c:symbol val="none"/>
          </c:marker>
          <c:xVal>
            <c:numLit>
              <c:formatCode>General</c:formatCode>
              <c:ptCount val="2"/>
              <c:pt idx="0">
                <c:v>-3.7747383191614201</c:v>
              </c:pt>
              <c:pt idx="1">
                <c:v>-3.5143519200271065</c:v>
              </c:pt>
            </c:numLit>
          </c:xVal>
          <c:yVal>
            <c:numLit>
              <c:formatCode>General</c:formatCode>
              <c:ptCount val="2"/>
              <c:pt idx="0">
                <c:v>1.7398391724391365E-2</c:v>
              </c:pt>
              <c:pt idx="1">
                <c:v>1.7485628344833467E-2</c:v>
              </c:pt>
            </c:numLit>
          </c:yVal>
          <c:smooth val="0"/>
          <c:extLst>
            <c:ext xmlns:c16="http://schemas.microsoft.com/office/drawing/2014/chart" uri="{C3380CC4-5D6E-409C-BE32-E72D297353CC}">
              <c16:uniqueId val="{00000053-5702-429E-880B-96B575F16006}"/>
            </c:ext>
          </c:extLst>
        </c:ser>
        <c:ser>
          <c:idx val="76"/>
          <c:order val="76"/>
          <c:spPr>
            <a:ln w="3175">
              <a:solidFill>
                <a:srgbClr val="000000"/>
              </a:solidFill>
              <a:prstDash val="solid"/>
            </a:ln>
          </c:spPr>
          <c:marker>
            <c:symbol val="none"/>
          </c:marker>
          <c:xVal>
            <c:numLit>
              <c:formatCode>General</c:formatCode>
              <c:ptCount val="2"/>
              <c:pt idx="0">
                <c:v>-3.631586231078753</c:v>
              </c:pt>
              <c:pt idx="1">
                <c:v>-3.3738474797164457</c:v>
              </c:pt>
            </c:numLit>
          </c:xVal>
          <c:yVal>
            <c:numLit>
              <c:formatCode>General</c:formatCode>
              <c:ptCount val="2"/>
              <c:pt idx="0">
                <c:v>1.7256440517043645E-2</c:v>
              </c:pt>
              <c:pt idx="1">
                <c:v>1.7346332097716154E-2</c:v>
              </c:pt>
            </c:numLit>
          </c:yVal>
          <c:smooth val="0"/>
          <c:extLst>
            <c:ext xmlns:c16="http://schemas.microsoft.com/office/drawing/2014/chart" uri="{C3380CC4-5D6E-409C-BE32-E72D297353CC}">
              <c16:uniqueId val="{00000054-5702-429E-880B-96B575F16006}"/>
            </c:ext>
          </c:extLst>
        </c:ser>
        <c:ser>
          <c:idx val="77"/>
          <c:order val="77"/>
          <c:spPr>
            <a:ln w="3175">
              <a:solidFill>
                <a:srgbClr val="000000"/>
              </a:solidFill>
              <a:prstDash val="solid"/>
            </a:ln>
          </c:spPr>
          <c:marker>
            <c:symbol val="none"/>
          </c:marker>
          <c:xVal>
            <c:numLit>
              <c:formatCode>General</c:formatCode>
              <c:ptCount val="2"/>
              <c:pt idx="0">
                <c:v>-3.4817238435808537</c:v>
              </c:pt>
              <c:pt idx="1">
                <c:v>-3.2267583164443456</c:v>
              </c:pt>
            </c:numLit>
          </c:xVal>
          <c:yVal>
            <c:numLit>
              <c:formatCode>General</c:formatCode>
              <c:ptCount val="2"/>
              <c:pt idx="0">
                <c:v>1.7113682639684533E-2</c:v>
              </c:pt>
              <c:pt idx="1">
                <c:v>1.7206245665128576E-2</c:v>
              </c:pt>
            </c:numLit>
          </c:yVal>
          <c:smooth val="0"/>
          <c:extLst>
            <c:ext xmlns:c16="http://schemas.microsoft.com/office/drawing/2014/chart" uri="{C3380CC4-5D6E-409C-BE32-E72D297353CC}">
              <c16:uniqueId val="{00000055-5702-429E-880B-96B575F16006}"/>
            </c:ext>
          </c:extLst>
        </c:ser>
        <c:ser>
          <c:idx val="78"/>
          <c:order val="78"/>
          <c:spPr>
            <a:ln w="3175">
              <a:solidFill>
                <a:srgbClr val="000000"/>
              </a:solidFill>
              <a:prstDash val="solid"/>
            </a:ln>
          </c:spPr>
          <c:marker>
            <c:symbol val="none"/>
          </c:marker>
          <c:xVal>
            <c:numLit>
              <c:formatCode>General</c:formatCode>
              <c:ptCount val="2"/>
              <c:pt idx="0">
                <c:v>-3.3250261266200152</c:v>
              </c:pt>
              <c:pt idx="1">
                <c:v>-3.0729618998035186</c:v>
              </c:pt>
            </c:numLit>
          </c:xVal>
          <c:yVal>
            <c:numLit>
              <c:formatCode>General</c:formatCode>
              <c:ptCount val="2"/>
              <c:pt idx="0">
                <c:v>1.6970275393310232E-2</c:v>
              </c:pt>
              <c:pt idx="1">
                <c:v>1.7065523467523706E-2</c:v>
              </c:pt>
            </c:numLit>
          </c:yVal>
          <c:smooth val="0"/>
          <c:extLst>
            <c:ext xmlns:c16="http://schemas.microsoft.com/office/drawing/2014/chart" uri="{C3380CC4-5D6E-409C-BE32-E72D297353CC}">
              <c16:uniqueId val="{00000056-5702-429E-880B-96B575F16006}"/>
            </c:ext>
          </c:extLst>
        </c:ser>
        <c:ser>
          <c:idx val="79"/>
          <c:order val="79"/>
          <c:spPr>
            <a:ln w="3175">
              <a:solidFill>
                <a:srgbClr val="000000"/>
              </a:solidFill>
              <a:prstDash val="solid"/>
            </a:ln>
          </c:spPr>
          <c:marker>
            <c:symbol val="none"/>
          </c:marker>
          <c:xVal>
            <c:numLit>
              <c:formatCode>General</c:formatCode>
              <c:ptCount val="2"/>
              <c:pt idx="0">
                <c:v>-3.1613833715973225</c:v>
              </c:pt>
              <c:pt idx="1">
                <c:v>-2.6633509677638583</c:v>
              </c:pt>
            </c:numLit>
          </c:xVal>
          <c:yVal>
            <c:numLit>
              <c:formatCode>General</c:formatCode>
              <c:ptCount val="2"/>
              <c:pt idx="0">
                <c:v>1.6826386547652034E-2</c:v>
              </c:pt>
              <c:pt idx="1">
                <c:v>1.702230230221061E-2</c:v>
              </c:pt>
            </c:numLit>
          </c:yVal>
          <c:smooth val="0"/>
          <c:extLst>
            <c:ext xmlns:c16="http://schemas.microsoft.com/office/drawing/2014/chart" uri="{C3380CC4-5D6E-409C-BE32-E72D297353CC}">
              <c16:uniqueId val="{00000057-5702-429E-880B-96B575F16006}"/>
            </c:ext>
          </c:extLst>
        </c:ser>
        <c:ser>
          <c:idx val="80"/>
          <c:order val="80"/>
          <c:spPr>
            <a:ln w="3175">
              <a:solidFill>
                <a:srgbClr val="000000"/>
              </a:solidFill>
              <a:prstDash val="solid"/>
            </a:ln>
          </c:spPr>
          <c:marker>
            <c:symbol val="none"/>
          </c:marker>
          <c:xVal>
            <c:numLit>
              <c:formatCode>General</c:formatCode>
              <c:ptCount val="2"/>
              <c:pt idx="0">
                <c:v>-2.9907030356033353</c:v>
              </c:pt>
              <c:pt idx="1">
                <c:v>-2.7448342295926</c:v>
              </c:pt>
            </c:numLit>
          </c:xVal>
          <c:yVal>
            <c:numLit>
              <c:formatCode>General</c:formatCode>
              <c:ptCount val="2"/>
              <c:pt idx="0">
                <c:v>1.6682194024279697E-2</c:v>
              </c:pt>
              <c:pt idx="1">
                <c:v>1.6782840484085852E-2</c:v>
              </c:pt>
            </c:numLit>
          </c:yVal>
          <c:smooth val="0"/>
          <c:extLst>
            <c:ext xmlns:c16="http://schemas.microsoft.com/office/drawing/2014/chart" uri="{C3380CC4-5D6E-409C-BE32-E72D297353CC}">
              <c16:uniqueId val="{00000058-5702-429E-880B-96B575F16006}"/>
            </c:ext>
          </c:extLst>
        </c:ser>
        <c:ser>
          <c:idx val="81"/>
          <c:order val="81"/>
          <c:spPr>
            <a:ln w="3175">
              <a:solidFill>
                <a:srgbClr val="000000"/>
              </a:solidFill>
              <a:prstDash val="solid"/>
            </a:ln>
          </c:spPr>
          <c:marker>
            <c:symbol val="none"/>
          </c:marker>
          <c:xVal>
            <c:numLit>
              <c:formatCode>General</c:formatCode>
              <c:ptCount val="2"/>
              <c:pt idx="0">
                <c:v>-2.8129115794016606</c:v>
              </c:pt>
              <c:pt idx="1">
                <c:v>-2.5703403808524157</c:v>
              </c:pt>
            </c:numLit>
          </c:xVal>
          <c:yVal>
            <c:numLit>
              <c:formatCode>General</c:formatCode>
              <c:ptCount val="2"/>
              <c:pt idx="0">
                <c:v>1.6537885451108375E-2</c:v>
              </c:pt>
              <c:pt idx="1">
                <c:v>1.6641238501844451E-2</c:v>
              </c:pt>
            </c:numLit>
          </c:yVal>
          <c:smooth val="0"/>
          <c:extLst>
            <c:ext xmlns:c16="http://schemas.microsoft.com/office/drawing/2014/chart" uri="{C3380CC4-5D6E-409C-BE32-E72D297353CC}">
              <c16:uniqueId val="{00000059-5702-429E-880B-96B575F16006}"/>
            </c:ext>
          </c:extLst>
        </c:ser>
        <c:ser>
          <c:idx val="82"/>
          <c:order val="82"/>
          <c:spPr>
            <a:ln w="3175">
              <a:solidFill>
                <a:srgbClr val="000000"/>
              </a:solidFill>
              <a:prstDash val="solid"/>
            </a:ln>
          </c:spPr>
          <c:marker>
            <c:symbol val="none"/>
          </c:marker>
          <c:xVal>
            <c:numLit>
              <c:formatCode>General</c:formatCode>
              <c:ptCount val="2"/>
              <c:pt idx="0">
                <c:v>-2.6279562713969504</c:v>
              </c:pt>
              <c:pt idx="1">
                <c:v>-2.3888176601309921</c:v>
              </c:pt>
            </c:numLit>
          </c:xVal>
          <c:yVal>
            <c:numLit>
              <c:formatCode>General</c:formatCode>
              <c:ptCount val="2"/>
              <c:pt idx="0">
                <c:v>1.6393657581975741E-2</c:v>
              </c:pt>
              <c:pt idx="1">
                <c:v>1.6499717352886321E-2</c:v>
              </c:pt>
            </c:numLit>
          </c:yVal>
          <c:smooth val="0"/>
          <c:extLst>
            <c:ext xmlns:c16="http://schemas.microsoft.com/office/drawing/2014/chart" uri="{C3380CC4-5D6E-409C-BE32-E72D297353CC}">
              <c16:uniqueId val="{0000005A-5702-429E-880B-96B575F16006}"/>
            </c:ext>
          </c:extLst>
        </c:ser>
        <c:ser>
          <c:idx val="83"/>
          <c:order val="83"/>
          <c:spPr>
            <a:ln w="3175">
              <a:solidFill>
                <a:srgbClr val="000000"/>
              </a:solidFill>
              <a:prstDash val="solid"/>
            </a:ln>
          </c:spPr>
          <c:marker>
            <c:symbol val="none"/>
          </c:marker>
          <c:xVal>
            <c:numLit>
              <c:formatCode>General</c:formatCode>
              <c:ptCount val="2"/>
              <c:pt idx="0">
                <c:v>-2.4358069272470111</c:v>
              </c:pt>
              <c:pt idx="1">
                <c:v>-2.2002366608185815</c:v>
              </c:pt>
            </c:numLit>
          </c:xVal>
          <c:yVal>
            <c:numLit>
              <c:formatCode>General</c:formatCode>
              <c:ptCount val="2"/>
              <c:pt idx="0">
                <c:v>1.6249715576979587E-2</c:v>
              </c:pt>
              <c:pt idx="1">
                <c:v>1.6358478383303236E-2</c:v>
              </c:pt>
            </c:numLit>
          </c:yVal>
          <c:smooth val="0"/>
          <c:extLst>
            <c:ext xmlns:c16="http://schemas.microsoft.com/office/drawing/2014/chart" uri="{C3380CC4-5D6E-409C-BE32-E72D297353CC}">
              <c16:uniqueId val="{0000005B-5702-429E-880B-96B575F16006}"/>
            </c:ext>
          </c:extLst>
        </c:ser>
        <c:ser>
          <c:idx val="84"/>
          <c:order val="84"/>
          <c:spPr>
            <a:ln w="3175">
              <a:solidFill>
                <a:srgbClr val="000000"/>
              </a:solidFill>
              <a:prstDash val="solid"/>
            </a:ln>
          </c:spPr>
          <c:marker>
            <c:symbol val="none"/>
          </c:marker>
          <c:xVal>
            <c:numLit>
              <c:formatCode>General</c:formatCode>
              <c:ptCount val="2"/>
              <c:pt idx="0">
                <c:v>-2.2364575526783668</c:v>
              </c:pt>
              <c:pt idx="1">
                <c:v>-1.7727654288864003</c:v>
              </c:pt>
            </c:numLit>
          </c:xVal>
          <c:yVal>
            <c:numLit>
              <c:formatCode>General</c:formatCode>
              <c:ptCount val="2"/>
              <c:pt idx="0">
                <c:v>1.6106272141666138E-2</c:v>
              </c:pt>
              <c:pt idx="1">
                <c:v>1.6329216559377625E-2</c:v>
              </c:pt>
            </c:numLit>
          </c:yVal>
          <c:smooth val="0"/>
          <c:extLst>
            <c:ext xmlns:c16="http://schemas.microsoft.com/office/drawing/2014/chart" uri="{C3380CC4-5D6E-409C-BE32-E72D297353CC}">
              <c16:uniqueId val="{0000005C-5702-429E-880B-96B575F16006}"/>
            </c:ext>
          </c:extLst>
        </c:ser>
        <c:ser>
          <c:idx val="85"/>
          <c:order val="85"/>
          <c:spPr>
            <a:ln w="3175">
              <a:solidFill>
                <a:srgbClr val="000000"/>
              </a:solidFill>
              <a:prstDash val="solid"/>
            </a:ln>
          </c:spPr>
          <c:marker>
            <c:symbol val="none"/>
          </c:marker>
          <c:xVal>
            <c:numLit>
              <c:formatCode>General</c:formatCode>
              <c:ptCount val="2"/>
              <c:pt idx="0">
                <c:v>-2.0299278555881948</c:v>
              </c:pt>
              <c:pt idx="1">
                <c:v>-1.8019024015064133</c:v>
              </c:pt>
            </c:numLit>
          </c:xVal>
          <c:yVal>
            <c:numLit>
              <c:formatCode>General</c:formatCode>
              <c:ptCount val="2"/>
              <c:pt idx="0">
                <c:v>1.5963546525904943E-2</c:v>
              </c:pt>
              <c:pt idx="1">
                <c:v>1.6077688351121416E-2</c:v>
              </c:pt>
            </c:numLit>
          </c:yVal>
          <c:smooth val="0"/>
          <c:extLst>
            <c:ext xmlns:c16="http://schemas.microsoft.com/office/drawing/2014/chart" uri="{C3380CC4-5D6E-409C-BE32-E72D297353CC}">
              <c16:uniqueId val="{0000005D-5702-429E-880B-96B575F16006}"/>
            </c:ext>
          </c:extLst>
        </c:ser>
        <c:ser>
          <c:idx val="86"/>
          <c:order val="86"/>
          <c:spPr>
            <a:ln w="3175">
              <a:solidFill>
                <a:srgbClr val="000000"/>
              </a:solidFill>
              <a:prstDash val="solid"/>
            </a:ln>
          </c:spPr>
          <c:marker>
            <c:symbol val="none"/>
          </c:marker>
          <c:xVal>
            <c:numLit>
              <c:formatCode>General</c:formatCode>
              <c:ptCount val="2"/>
              <c:pt idx="0">
                <c:v>-1.8162645928000885</c:v>
              </c:pt>
              <c:pt idx="1">
                <c:v>-1.5922148128252676</c:v>
              </c:pt>
            </c:numLit>
          </c:xVal>
          <c:yVal>
            <c:numLit>
              <c:formatCode>General</c:formatCode>
              <c:ptCount val="2"/>
              <c:pt idx="0">
                <c:v>1.582176338632859E-2</c:v>
              </c:pt>
              <c:pt idx="1">
                <c:v>1.5938572881555507E-2</c:v>
              </c:pt>
            </c:numLit>
          </c:yVal>
          <c:smooth val="0"/>
          <c:extLst>
            <c:ext xmlns:c16="http://schemas.microsoft.com/office/drawing/2014/chart" uri="{C3380CC4-5D6E-409C-BE32-E72D297353CC}">
              <c16:uniqueId val="{0000005E-5702-429E-880B-96B575F16006}"/>
            </c:ext>
          </c:extLst>
        </c:ser>
        <c:ser>
          <c:idx val="87"/>
          <c:order val="87"/>
          <c:spPr>
            <a:ln w="3175">
              <a:solidFill>
                <a:srgbClr val="000000"/>
              </a:solidFill>
              <a:prstDash val="solid"/>
            </a:ln>
          </c:spPr>
          <c:marker>
            <c:symbol val="none"/>
          </c:marker>
          <c:xVal>
            <c:numLit>
              <c:formatCode>General</c:formatCode>
              <c:ptCount val="2"/>
              <c:pt idx="0">
                <c:v>-1.5955427170110763</c:v>
              </c:pt>
              <c:pt idx="1">
                <c:v>-1.3756027305792728</c:v>
              </c:pt>
            </c:numLit>
          </c:xVal>
          <c:yVal>
            <c:numLit>
              <c:formatCode>General</c:formatCode>
              <c:ptCount val="2"/>
              <c:pt idx="0">
                <c:v>1.5681151519484071E-2</c:v>
              </c:pt>
              <c:pt idx="1">
                <c:v>1.5800608416582949E-2</c:v>
              </c:pt>
            </c:numLit>
          </c:yVal>
          <c:smooth val="0"/>
          <c:extLst>
            <c:ext xmlns:c16="http://schemas.microsoft.com/office/drawing/2014/chart" uri="{C3380CC4-5D6E-409C-BE32-E72D297353CC}">
              <c16:uniqueId val="{0000005F-5702-429E-880B-96B575F16006}"/>
            </c:ext>
          </c:extLst>
        </c:ser>
        <c:ser>
          <c:idx val="88"/>
          <c:order val="88"/>
          <c:spPr>
            <a:ln w="3175">
              <a:solidFill>
                <a:srgbClr val="000000"/>
              </a:solidFill>
              <a:prstDash val="solid"/>
            </a:ln>
          </c:spPr>
          <c:marker>
            <c:symbol val="none"/>
          </c:marker>
          <c:xVal>
            <c:numLit>
              <c:formatCode>General</c:formatCode>
              <c:ptCount val="2"/>
              <c:pt idx="0">
                <c:v>-1.3678662906254964</c:v>
              </c:pt>
              <c:pt idx="1">
                <c:v>-1.1521684934239047</c:v>
              </c:pt>
            </c:numLit>
          </c:xVal>
          <c:yVal>
            <c:numLit>
              <c:formatCode>General</c:formatCode>
              <c:ptCount val="2"/>
              <c:pt idx="0">
                <c:v>1.5541942476248823E-2</c:v>
              </c:pt>
              <c:pt idx="1">
                <c:v>1.5664022138025483E-2</c:v>
              </c:pt>
            </c:numLit>
          </c:yVal>
          <c:smooth val="0"/>
          <c:extLst>
            <c:ext xmlns:c16="http://schemas.microsoft.com/office/drawing/2014/chart" uri="{C3380CC4-5D6E-409C-BE32-E72D297353CC}">
              <c16:uniqueId val="{00000060-5702-429E-880B-96B575F16006}"/>
            </c:ext>
          </c:extLst>
        </c:ser>
        <c:ser>
          <c:idx val="89"/>
          <c:order val="89"/>
          <c:spPr>
            <a:ln w="3175">
              <a:solidFill>
                <a:srgbClr val="000000"/>
              </a:solidFill>
              <a:prstDash val="solid"/>
            </a:ln>
          </c:spPr>
          <c:marker>
            <c:symbol val="none"/>
          </c:marker>
          <c:xVal>
            <c:numLit>
              <c:formatCode>General</c:formatCode>
              <c:ptCount val="2"/>
              <c:pt idx="0">
                <c:v>-1.1333691353898914</c:v>
              </c:pt>
              <c:pt idx="1">
                <c:v>-0.71076315081004948</c:v>
              </c:pt>
            </c:numLit>
          </c:xVal>
          <c:yVal>
            <c:numLit>
              <c:formatCode>General</c:formatCode>
              <c:ptCount val="2"/>
              <c:pt idx="0">
                <c:v>1.5404369071500319E-2</c:v>
              </c:pt>
              <c:pt idx="1">
                <c:v>1.5653741841350991E-2</c:v>
              </c:pt>
            </c:numLit>
          </c:yVal>
          <c:smooth val="0"/>
          <c:extLst>
            <c:ext xmlns:c16="http://schemas.microsoft.com/office/drawing/2014/chart" uri="{C3380CC4-5D6E-409C-BE32-E72D297353CC}">
              <c16:uniqueId val="{00000061-5702-429E-880B-96B575F16006}"/>
            </c:ext>
          </c:extLst>
        </c:ser>
        <c:ser>
          <c:idx val="90"/>
          <c:order val="90"/>
          <c:spPr>
            <a:ln w="3175">
              <a:solidFill>
                <a:srgbClr val="000000"/>
              </a:solidFill>
              <a:prstDash val="solid"/>
            </a:ln>
          </c:spPr>
          <c:marker>
            <c:symbol val="none"/>
          </c:marker>
          <c:xVal>
            <c:numLit>
              <c:formatCode>General</c:formatCode>
              <c:ptCount val="2"/>
              <c:pt idx="0">
                <c:v>-0.89221519005593564</c:v>
              </c:pt>
              <c:pt idx="1">
                <c:v>-0.68538924206824692</c:v>
              </c:pt>
            </c:numLit>
          </c:xVal>
          <c:yVal>
            <c:numLit>
              <c:formatCode>General</c:formatCode>
              <c:ptCount val="2"/>
              <c:pt idx="0">
                <c:v>1.5268663806373085E-2</c:v>
              </c:pt>
              <c:pt idx="1">
                <c:v>1.5395897451935715E-2</c:v>
              </c:pt>
            </c:numLit>
          </c:yVal>
          <c:smooth val="0"/>
          <c:extLst>
            <c:ext xmlns:c16="http://schemas.microsoft.com/office/drawing/2014/chart" uri="{C3380CC4-5D6E-409C-BE32-E72D297353CC}">
              <c16:uniqueId val="{00000062-5702-429E-880B-96B575F16006}"/>
            </c:ext>
          </c:extLst>
        </c:ser>
        <c:ser>
          <c:idx val="91"/>
          <c:order val="91"/>
          <c:spPr>
            <a:ln w="3175">
              <a:solidFill>
                <a:srgbClr val="000000"/>
              </a:solidFill>
              <a:prstDash val="solid"/>
            </a:ln>
          </c:spPr>
          <c:marker>
            <c:symbol val="none"/>
          </c:marker>
          <c:xVal>
            <c:numLit>
              <c:formatCode>General</c:formatCode>
              <c:ptCount val="2"/>
              <c:pt idx="0">
                <c:v>-0.64459855269358535</c:v>
              </c:pt>
              <c:pt idx="1">
                <c:v>-0.44239597309658152</c:v>
              </c:pt>
            </c:numLit>
          </c:xVal>
          <c:yVal>
            <c:numLit>
              <c:formatCode>General</c:formatCode>
              <c:ptCount val="2"/>
              <c:pt idx="0">
                <c:v>1.5135057223559432E-2</c:v>
              </c:pt>
              <c:pt idx="1">
                <c:v>1.5264813282187517E-2</c:v>
              </c:pt>
            </c:numLit>
          </c:yVal>
          <c:smooth val="0"/>
          <c:extLst>
            <c:ext xmlns:c16="http://schemas.microsoft.com/office/drawing/2014/chart" uri="{C3380CC4-5D6E-409C-BE32-E72D297353CC}">
              <c16:uniqueId val="{00000063-5702-429E-880B-96B575F16006}"/>
            </c:ext>
          </c:extLst>
        </c:ser>
        <c:ser>
          <c:idx val="92"/>
          <c:order val="92"/>
          <c:spPr>
            <a:ln w="3175">
              <a:solidFill>
                <a:srgbClr val="000000"/>
              </a:solidFill>
              <a:prstDash val="solid"/>
            </a:ln>
          </c:spPr>
          <c:marker>
            <c:symbol val="none"/>
          </c:marker>
          <c:xVal>
            <c:numLit>
              <c:formatCode>General</c:formatCode>
              <c:ptCount val="2"/>
              <c:pt idx="0">
                <c:v>-0.3907431896924809</c:v>
              </c:pt>
              <c:pt idx="1">
                <c:v>-0.19328378988740452</c:v>
              </c:pt>
            </c:numLit>
          </c:xVal>
          <c:yVal>
            <c:numLit>
              <c:formatCode>General</c:formatCode>
              <c:ptCount val="2"/>
              <c:pt idx="0">
                <c:v>1.5003776218876214E-2</c:v>
              </c:pt>
              <c:pt idx="1">
                <c:v>1.5136012504210117E-2</c:v>
              </c:pt>
            </c:numLit>
          </c:yVal>
          <c:smooth val="0"/>
          <c:extLst>
            <c:ext xmlns:c16="http://schemas.microsoft.com/office/drawing/2014/chart" uri="{C3380CC4-5D6E-409C-BE32-E72D297353CC}">
              <c16:uniqueId val="{00000064-5702-429E-880B-96B575F16006}"/>
            </c:ext>
          </c:extLst>
        </c:ser>
        <c:ser>
          <c:idx val="93"/>
          <c:order val="93"/>
          <c:spPr>
            <a:ln w="3175">
              <a:solidFill>
                <a:srgbClr val="000000"/>
              </a:solidFill>
              <a:prstDash val="solid"/>
            </a:ln>
          </c:spPr>
          <c:marker>
            <c:symbol val="none"/>
          </c:marker>
          <c:xVal>
            <c:numLit>
              <c:formatCode>General</c:formatCode>
              <c:ptCount val="2"/>
              <c:pt idx="0">
                <c:v>-0.13090229981099455</c:v>
              </c:pt>
              <c:pt idx="1">
                <c:v>6.169867926058907E-2</c:v>
              </c:pt>
            </c:numLit>
          </c:xVal>
          <c:yVal>
            <c:numLit>
              <c:formatCode>General</c:formatCode>
              <c:ptCount val="2"/>
              <c:pt idx="0">
                <c:v>1.4875042334598446E-2</c:v>
              </c:pt>
              <c:pt idx="1">
                <c:v>1.5009712411153868E-2</c:v>
              </c:pt>
            </c:numLit>
          </c:yVal>
          <c:smooth val="0"/>
          <c:extLst>
            <c:ext xmlns:c16="http://schemas.microsoft.com/office/drawing/2014/chart" uri="{C3380CC4-5D6E-409C-BE32-E72D297353CC}">
              <c16:uniqueId val="{00000065-5702-429E-880B-96B575F16006}"/>
            </c:ext>
          </c:extLst>
        </c:ser>
        <c:ser>
          <c:idx val="94"/>
          <c:order val="94"/>
          <c:spPr>
            <a:ln w="3175">
              <a:solidFill>
                <a:srgbClr val="000000"/>
              </a:solidFill>
              <a:prstDash val="solid"/>
            </a:ln>
          </c:spPr>
          <c:marker>
            <c:symbol val="none"/>
          </c:marker>
          <c:xVal>
            <c:numLit>
              <c:formatCode>General</c:formatCode>
              <c:ptCount val="2"/>
              <c:pt idx="0">
                <c:v>0.13464267130606267</c:v>
              </c:pt>
              <c:pt idx="1">
                <c:v>0.50985933323638888</c:v>
              </c:pt>
            </c:numLit>
          </c:xVal>
          <c:yVal>
            <c:numLit>
              <c:formatCode>General</c:formatCode>
              <c:ptCount val="2"/>
              <c:pt idx="0">
                <c:v>1.4749070061732053E-2</c:v>
              </c:pt>
              <c:pt idx="1">
                <c:v>1.5023199163709948E-2</c:v>
              </c:pt>
            </c:numLit>
          </c:yVal>
          <c:smooth val="0"/>
          <c:extLst>
            <c:ext xmlns:c16="http://schemas.microsoft.com/office/drawing/2014/chart" uri="{C3380CC4-5D6E-409C-BE32-E72D297353CC}">
              <c16:uniqueId val="{00000066-5702-429E-880B-96B575F16006}"/>
            </c:ext>
          </c:extLst>
        </c:ser>
        <c:ser>
          <c:idx val="95"/>
          <c:order val="95"/>
          <c:spPr>
            <a:ln w="3175">
              <a:solidFill>
                <a:srgbClr val="000000"/>
              </a:solidFill>
              <a:prstDash val="solid"/>
            </a:ln>
          </c:spPr>
          <c:marker>
            <c:symbol val="none"/>
          </c:marker>
          <c:xVal>
            <c:numLit>
              <c:formatCode>General</c:formatCode>
              <c:ptCount val="2"/>
              <c:pt idx="0">
                <c:v>0.4055833631314929</c:v>
              </c:pt>
              <c:pt idx="1">
                <c:v>0.58814277734189857</c:v>
              </c:pt>
            </c:numLit>
          </c:xVal>
          <c:yVal>
            <c:numLit>
              <c:formatCode>General</c:formatCode>
              <c:ptCount val="2"/>
              <c:pt idx="0">
                <c:v>1.4626065179361722E-2</c:v>
              </c:pt>
              <c:pt idx="1">
                <c:v>1.4765447168300718E-2</c:v>
              </c:pt>
            </c:numLit>
          </c:yVal>
          <c:smooth val="0"/>
          <c:extLst>
            <c:ext xmlns:c16="http://schemas.microsoft.com/office/drawing/2014/chart" uri="{C3380CC4-5D6E-409C-BE32-E72D297353CC}">
              <c16:uniqueId val="{00000067-5702-429E-880B-96B575F16006}"/>
            </c:ext>
          </c:extLst>
        </c:ser>
        <c:ser>
          <c:idx val="96"/>
          <c:order val="96"/>
          <c:spPr>
            <a:ln w="3175">
              <a:solidFill>
                <a:srgbClr val="000000"/>
              </a:solidFill>
              <a:prstDash val="solid"/>
            </a:ln>
          </c:spPr>
          <c:marker>
            <c:symbol val="none"/>
          </c:marker>
          <c:xVal>
            <c:numLit>
              <c:formatCode>General</c:formatCode>
              <c:ptCount val="2"/>
              <c:pt idx="0">
                <c:v>0.68158616790776527</c:v>
              </c:pt>
              <c:pt idx="1">
                <c:v>0.85897422226306874</c:v>
              </c:pt>
            </c:numLit>
          </c:xVal>
          <c:yVal>
            <c:numLit>
              <c:formatCode>General</c:formatCode>
              <c:ptCount val="2"/>
              <c:pt idx="0">
                <c:v>1.4506223159390572E-2</c:v>
              </c:pt>
              <c:pt idx="1">
                <c:v>1.4647875499656014E-2</c:v>
              </c:pt>
            </c:numLit>
          </c:yVal>
          <c:smooth val="0"/>
          <c:extLst>
            <c:ext xmlns:c16="http://schemas.microsoft.com/office/drawing/2014/chart" uri="{C3380CC4-5D6E-409C-BE32-E72D297353CC}">
              <c16:uniqueId val="{00000068-5702-429E-880B-96B575F16006}"/>
            </c:ext>
          </c:extLst>
        </c:ser>
        <c:ser>
          <c:idx val="97"/>
          <c:order val="97"/>
          <c:spPr>
            <a:ln w="3175">
              <a:solidFill>
                <a:srgbClr val="000000"/>
              </a:solidFill>
              <a:prstDash val="solid"/>
            </a:ln>
          </c:spPr>
          <c:marker>
            <c:symbol val="none"/>
          </c:marker>
          <c:xVal>
            <c:numLit>
              <c:formatCode>General</c:formatCode>
              <c:ptCount val="2"/>
              <c:pt idx="0">
                <c:v>0.96229421521243097</c:v>
              </c:pt>
              <c:pt idx="1">
                <c:v>1.1344191727758228</c:v>
              </c:pt>
            </c:numLit>
          </c:xVal>
          <c:yVal>
            <c:numLit>
              <c:formatCode>General</c:formatCode>
              <c:ptCount val="2"/>
              <c:pt idx="0">
                <c:v>1.4389727664343434E-2</c:v>
              </c:pt>
              <c:pt idx="1">
                <c:v>1.4533588441554928E-2</c:v>
              </c:pt>
            </c:numLit>
          </c:yVal>
          <c:smooth val="0"/>
          <c:extLst>
            <c:ext xmlns:c16="http://schemas.microsoft.com/office/drawing/2014/chart" uri="{C3380CC4-5D6E-409C-BE32-E72D297353CC}">
              <c16:uniqueId val="{00000069-5702-429E-880B-96B575F16006}"/>
            </c:ext>
          </c:extLst>
        </c:ser>
        <c:ser>
          <c:idx val="98"/>
          <c:order val="98"/>
          <c:spPr>
            <a:ln w="3175">
              <a:solidFill>
                <a:srgbClr val="000000"/>
              </a:solidFill>
              <a:prstDash val="solid"/>
            </a:ln>
          </c:spPr>
          <c:marker>
            <c:symbol val="none"/>
          </c:marker>
          <c:xVal>
            <c:numLit>
              <c:formatCode>General</c:formatCode>
              <c:ptCount val="2"/>
              <c:pt idx="0">
                <c:v>1.2473296471375868</c:v>
              </c:pt>
              <c:pt idx="1">
                <c:v>1.4141067919017587</c:v>
              </c:pt>
            </c:numLit>
          </c:xVal>
          <c:yVal>
            <c:numLit>
              <c:formatCode>General</c:formatCode>
              <c:ptCount val="2"/>
              <c:pt idx="0">
                <c:v>1.4276749164427373E-2</c:v>
              </c:pt>
              <c:pt idx="1">
                <c:v>1.4422753124755468E-2</c:v>
              </c:pt>
            </c:numLit>
          </c:yVal>
          <c:smooth val="0"/>
          <c:extLst>
            <c:ext xmlns:c16="http://schemas.microsoft.com/office/drawing/2014/chart" uri="{C3380CC4-5D6E-409C-BE32-E72D297353CC}">
              <c16:uniqueId val="{0000006A-5702-429E-880B-96B575F16006}"/>
            </c:ext>
          </c:extLst>
        </c:ser>
        <c:ser>
          <c:idx val="99"/>
          <c:order val="99"/>
          <c:spPr>
            <a:ln w="3175">
              <a:solidFill>
                <a:srgbClr val="000000"/>
              </a:solidFill>
              <a:prstDash val="solid"/>
            </a:ln>
          </c:spPr>
          <c:marker>
            <c:symbol val="none"/>
          </c:marker>
          <c:xVal>
            <c:numLit>
              <c:formatCode>General</c:formatCode>
              <c:ptCount val="2"/>
              <c:pt idx="0">
                <c:v>1.5362961508050272</c:v>
              </c:pt>
              <c:pt idx="1">
                <c:v>1.8589518590490481</c:v>
              </c:pt>
            </c:numLit>
          </c:xVal>
          <c:yVal>
            <c:numLit>
              <c:formatCode>General</c:formatCode>
              <c:ptCount val="2"/>
              <c:pt idx="0">
                <c:v>1.4167443697763351E-2</c:v>
              </c:pt>
              <c:pt idx="1">
                <c:v>1.4463619271505289E-2</c:v>
              </c:pt>
            </c:numLit>
          </c:yVal>
          <c:smooth val="0"/>
          <c:extLst>
            <c:ext xmlns:c16="http://schemas.microsoft.com/office/drawing/2014/chart" uri="{C3380CC4-5D6E-409C-BE32-E72D297353CC}">
              <c16:uniqueId val="{0000006B-5702-429E-880B-96B575F16006}"/>
            </c:ext>
          </c:extLst>
        </c:ser>
        <c:ser>
          <c:idx val="100"/>
          <c:order val="100"/>
          <c:spPr>
            <a:ln w="3175">
              <a:solidFill>
                <a:srgbClr val="000000"/>
              </a:solidFill>
              <a:prstDash val="solid"/>
            </a:ln>
          </c:spPr>
          <c:marker>
            <c:symbol val="none"/>
          </c:marker>
          <c:xVal>
            <c:numLit>
              <c:formatCode>General</c:formatCode>
              <c:ptCount val="45"/>
              <c:pt idx="0">
                <c:v>-5.9260000000000002</c:v>
              </c:pt>
              <c:pt idx="1">
                <c:v>-5.9157850232040214</c:v>
              </c:pt>
              <c:pt idx="2">
                <c:v>-5.8806241179947172</c:v>
              </c:pt>
              <c:pt idx="3">
                <c:v>-5.8122750662275262</c:v>
              </c:pt>
              <c:pt idx="4">
                <c:v>-5.7001761795465136</c:v>
              </c:pt>
              <c:pt idx="5">
                <c:v>-5.6402029581441493</c:v>
              </c:pt>
              <c:pt idx="6">
                <c:v>-5.5701424773852359</c:v>
              </c:pt>
              <c:pt idx="7">
                <c:v>-5.4889219545397143</c:v>
              </c:pt>
              <c:pt idx="8">
                <c:v>-5.3953849466356143</c:v>
              </c:pt>
              <c:pt idx="9">
                <c:v>-5.2882927463469294</c:v>
              </c:pt>
              <c:pt idx="10">
                <c:v>-5.1663284671497607</c:v>
              </c:pt>
              <c:pt idx="11">
                <c:v>-5.0281045149599066</c:v>
              </c:pt>
              <c:pt idx="12">
                <c:v>-4.872174203436014</c:v>
              </c:pt>
              <c:pt idx="13">
                <c:v>-4.6970482941596963</c:v>
              </c:pt>
              <c:pt idx="14">
                <c:v>-4.5012172107705162</c:v>
              </c:pt>
              <c:pt idx="15">
                <c:v>-4.3950668077920874</c:v>
              </c:pt>
              <c:pt idx="16">
                <c:v>-4.2831795643148318</c:v>
              </c:pt>
              <c:pt idx="17">
                <c:v>-4.1653748706393579</c:v>
              </c:pt>
              <c:pt idx="18">
                <c:v>-4.0414774108177625</c:v>
              </c:pt>
              <c:pt idx="19">
                <c:v>-3.9113186336624519</c:v>
              </c:pt>
              <c:pt idx="20">
                <c:v>-3.7747383191614201</c:v>
              </c:pt>
              <c:pt idx="21">
                <c:v>-3.631586231078753</c:v>
              </c:pt>
              <c:pt idx="22">
                <c:v>-3.4817238435808537</c:v>
              </c:pt>
              <c:pt idx="23">
                <c:v>-3.3250261266200152</c:v>
              </c:pt>
              <c:pt idx="24">
                <c:v>-3.1613833715973225</c:v>
              </c:pt>
              <c:pt idx="25">
                <c:v>-2.9907030356033353</c:v>
              </c:pt>
              <c:pt idx="26">
                <c:v>-2.8129115794016606</c:v>
              </c:pt>
              <c:pt idx="27">
                <c:v>-2.6279562713969504</c:v>
              </c:pt>
              <c:pt idx="28">
                <c:v>-2.4358069272470111</c:v>
              </c:pt>
              <c:pt idx="29">
                <c:v>-2.2364575526783668</c:v>
              </c:pt>
              <c:pt idx="30">
                <c:v>-2.0299278555881948</c:v>
              </c:pt>
              <c:pt idx="31">
                <c:v>-1.8162645928000885</c:v>
              </c:pt>
              <c:pt idx="32">
                <c:v>-1.5955427170110763</c:v>
              </c:pt>
              <c:pt idx="33">
                <c:v>-1.3678662906254964</c:v>
              </c:pt>
              <c:pt idx="34">
                <c:v>-1.1333691353898914</c:v>
              </c:pt>
              <c:pt idx="35">
                <c:v>-0.89221519005593564</c:v>
              </c:pt>
              <c:pt idx="36">
                <c:v>-0.64459855269358535</c:v>
              </c:pt>
              <c:pt idx="37">
                <c:v>-0.3907431896924809</c:v>
              </c:pt>
              <c:pt idx="38">
                <c:v>-0.13090229981099455</c:v>
              </c:pt>
              <c:pt idx="39">
                <c:v>0.13464267130606267</c:v>
              </c:pt>
              <c:pt idx="40">
                <c:v>0.4055833631314929</c:v>
              </c:pt>
              <c:pt idx="41">
                <c:v>0.68158616790776527</c:v>
              </c:pt>
              <c:pt idx="42">
                <c:v>0.96229421521243097</c:v>
              </c:pt>
              <c:pt idx="43">
                <c:v>1.2473296471375868</c:v>
              </c:pt>
              <c:pt idx="44">
                <c:v>1.5362961508050272</c:v>
              </c:pt>
            </c:numLit>
          </c:xVal>
          <c:yVal>
            <c:numLit>
              <c:formatCode>General</c:formatCode>
              <c:ptCount val="45"/>
              <c:pt idx="0">
                <c:v>2.2089999999999999E-2</c:v>
              </c:pt>
              <c:pt idx="1">
                <c:v>2.1755314816450745E-2</c:v>
              </c:pt>
              <c:pt idx="2">
                <c:v>2.1384996082539305E-2</c:v>
              </c:pt>
              <c:pt idx="3">
                <c:v>2.097508470329431E-2</c:v>
              </c:pt>
              <c:pt idx="4">
                <c:v>2.0521681886212954E-2</c:v>
              </c:pt>
              <c:pt idx="5">
                <c:v>2.0327342639350592E-2</c:v>
              </c:pt>
              <c:pt idx="6">
                <c:v>2.0125297151681692E-2</c:v>
              </c:pt>
              <c:pt idx="7">
                <c:v>1.9915395759737602E-2</c:v>
              </c:pt>
              <c:pt idx="8">
                <c:v>1.9697532513708805E-2</c:v>
              </c:pt>
              <c:pt idx="9">
                <c:v>1.9471655937346663E-2</c:v>
              </c:pt>
              <c:pt idx="10">
                <c:v>1.9237781085411375E-2</c:v>
              </c:pt>
              <c:pt idx="11">
                <c:v>1.8996002804199878E-2</c:v>
              </c:pt>
              <c:pt idx="12">
                <c:v>1.8746509994335987E-2</c:v>
              </c:pt>
              <c:pt idx="13">
                <c:v>1.8489600539614334E-2</c:v>
              </c:pt>
              <c:pt idx="14">
                <c:v>1.822569640170554E-2</c:v>
              </c:pt>
              <c:pt idx="15">
                <c:v>1.8091290727735326E-2</c:v>
              </c:pt>
              <c:pt idx="16">
                <c:v>1.7955358192567328E-2</c:v>
              </c:pt>
              <c:pt idx="17">
                <c:v>1.7817992699349389E-2</c:v>
              </c:pt>
              <c:pt idx="18">
                <c:v>1.7679298334953648E-2</c:v>
              </c:pt>
              <c:pt idx="19">
                <c:v>1.7539389625736045E-2</c:v>
              </c:pt>
              <c:pt idx="20">
                <c:v>1.7398391724391365E-2</c:v>
              </c:pt>
              <c:pt idx="21">
                <c:v>1.7256440517043645E-2</c:v>
              </c:pt>
              <c:pt idx="22">
                <c:v>1.7113682639684533E-2</c:v>
              </c:pt>
              <c:pt idx="23">
                <c:v>1.6970275393310232E-2</c:v>
              </c:pt>
              <c:pt idx="24">
                <c:v>1.6826386547652034E-2</c:v>
              </c:pt>
              <c:pt idx="25">
                <c:v>1.6682194024279697E-2</c:v>
              </c:pt>
              <c:pt idx="26">
                <c:v>1.6537885451108375E-2</c:v>
              </c:pt>
              <c:pt idx="27">
                <c:v>1.6393657581975741E-2</c:v>
              </c:pt>
              <c:pt idx="28">
                <c:v>1.6249715576979587E-2</c:v>
              </c:pt>
              <c:pt idx="29">
                <c:v>1.6106272141666138E-2</c:v>
              </c:pt>
              <c:pt idx="30">
                <c:v>1.5963546525904943E-2</c:v>
              </c:pt>
              <c:pt idx="31">
                <c:v>1.582176338632859E-2</c:v>
              </c:pt>
              <c:pt idx="32">
                <c:v>1.5681151519484071E-2</c:v>
              </c:pt>
              <c:pt idx="33">
                <c:v>1.5541942476248823E-2</c:v>
              </c:pt>
              <c:pt idx="34">
                <c:v>1.5404369071500319E-2</c:v>
              </c:pt>
              <c:pt idx="35">
                <c:v>1.5268663806373085E-2</c:v>
              </c:pt>
              <c:pt idx="36">
                <c:v>1.5135057223559432E-2</c:v>
              </c:pt>
              <c:pt idx="37">
                <c:v>1.5003776218876214E-2</c:v>
              </c:pt>
              <c:pt idx="38">
                <c:v>1.4875042334598446E-2</c:v>
              </c:pt>
              <c:pt idx="39">
                <c:v>1.4749070061732053E-2</c:v>
              </c:pt>
              <c:pt idx="40">
                <c:v>1.4626065179361722E-2</c:v>
              </c:pt>
              <c:pt idx="41">
                <c:v>1.4506223159390572E-2</c:v>
              </c:pt>
              <c:pt idx="42">
                <c:v>1.4389727664343434E-2</c:v>
              </c:pt>
              <c:pt idx="43">
                <c:v>1.4276749164427373E-2</c:v>
              </c:pt>
              <c:pt idx="44">
                <c:v>1.4167443697763351E-2</c:v>
              </c:pt>
            </c:numLit>
          </c:yVal>
          <c:smooth val="1"/>
          <c:extLst>
            <c:ext xmlns:c16="http://schemas.microsoft.com/office/drawing/2014/chart" uri="{C3380CC4-5D6E-409C-BE32-E72D297353CC}">
              <c16:uniqueId val="{0000006C-5702-429E-880B-96B575F16006}"/>
            </c:ext>
          </c:extLst>
        </c:ser>
        <c:dLbls>
          <c:showLegendKey val="0"/>
          <c:showVal val="0"/>
          <c:showCatName val="0"/>
          <c:showSerName val="0"/>
          <c:showPercent val="0"/>
          <c:showBubbleSize val="0"/>
        </c:dLbls>
        <c:axId val="358253584"/>
        <c:axId val="358251624"/>
      </c:scatterChart>
      <c:valAx>
        <c:axId val="358253584"/>
        <c:scaling>
          <c:orientation val="minMax"/>
          <c:max val="66.8"/>
          <c:min val="-10.226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226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E954-48F9-993C-11256A0BCA95}"/>
            </c:ext>
          </c:extLst>
        </c:ser>
        <c:ser>
          <c:idx val="1"/>
          <c:order val="1"/>
          <c:spPr>
            <a:ln w="3175">
              <a:solidFill>
                <a:srgbClr val="000000"/>
              </a:solidFill>
              <a:prstDash val="solid"/>
            </a:ln>
          </c:spPr>
          <c:marker>
            <c:symbol val="none"/>
          </c:marker>
          <c:xVal>
            <c:numLit>
              <c:formatCode>General</c:formatCode>
              <c:ptCount val="2"/>
              <c:pt idx="0">
                <c:v>21.371581252627763</c:v>
              </c:pt>
              <c:pt idx="1">
                <c:v>21.032653815048931</c:v>
              </c:pt>
            </c:numLit>
          </c:xVal>
          <c:yVal>
            <c:numLit>
              <c:formatCode>General</c:formatCode>
              <c:ptCount val="2"/>
              <c:pt idx="0">
                <c:v>3.1752455570413805E-2</c:v>
              </c:pt>
              <c:pt idx="1">
                <c:v>3.1462581903301388E-2</c:v>
              </c:pt>
            </c:numLit>
          </c:yVal>
          <c:smooth val="0"/>
          <c:extLst>
            <c:ext xmlns:c16="http://schemas.microsoft.com/office/drawing/2014/chart" uri="{C3380CC4-5D6E-409C-BE32-E72D297353CC}">
              <c16:uniqueId val="{00000001-E954-48F9-993C-11256A0BCA95}"/>
            </c:ext>
          </c:extLst>
        </c:ser>
        <c:ser>
          <c:idx val="2"/>
          <c:order val="2"/>
          <c:spPr>
            <a:ln w="3175">
              <a:solidFill>
                <a:srgbClr val="000000"/>
              </a:solidFill>
              <a:prstDash val="solid"/>
            </a:ln>
          </c:spPr>
          <c:marker>
            <c:symbol val="none"/>
          </c:marker>
          <c:xVal>
            <c:numLit>
              <c:formatCode>General</c:formatCode>
              <c:ptCount val="2"/>
              <c:pt idx="0">
                <c:v>21.037871346719125</c:v>
              </c:pt>
              <c:pt idx="1">
                <c:v>20.873413276518338</c:v>
              </c:pt>
            </c:numLit>
          </c:xVal>
          <c:yVal>
            <c:numLit>
              <c:formatCode>General</c:formatCode>
              <c:ptCount val="2"/>
              <c:pt idx="0">
                <c:v>3.1883342959581833E-2</c:v>
              </c:pt>
              <c:pt idx="1">
                <c:v>3.1736442815188101E-2</c:v>
              </c:pt>
            </c:numLit>
          </c:yVal>
          <c:smooth val="0"/>
          <c:extLst>
            <c:ext xmlns:c16="http://schemas.microsoft.com/office/drawing/2014/chart" uri="{C3380CC4-5D6E-409C-BE32-E72D297353CC}">
              <c16:uniqueId val="{00000002-E954-48F9-993C-11256A0BCA95}"/>
            </c:ext>
          </c:extLst>
        </c:ser>
        <c:ser>
          <c:idx val="3"/>
          <c:order val="3"/>
          <c:spPr>
            <a:ln w="3175">
              <a:solidFill>
                <a:srgbClr val="000000"/>
              </a:solidFill>
              <a:prstDash val="solid"/>
            </a:ln>
          </c:spPr>
          <c:marker>
            <c:symbol val="none"/>
          </c:marker>
          <c:xVal>
            <c:numLit>
              <c:formatCode>General</c:formatCode>
              <c:ptCount val="2"/>
              <c:pt idx="0">
                <c:v>20.690537187655689</c:v>
              </c:pt>
              <c:pt idx="1">
                <c:v>20.372041072026015</c:v>
              </c:pt>
            </c:numLit>
          </c:xVal>
          <c:yVal>
            <c:numLit>
              <c:formatCode>General</c:formatCode>
              <c:ptCount val="2"/>
              <c:pt idx="0">
                <c:v>3.201365681519143E-2</c:v>
              </c:pt>
              <c:pt idx="1">
                <c:v>3.1715947110735686E-2</c:v>
              </c:pt>
            </c:numLit>
          </c:yVal>
          <c:smooth val="0"/>
          <c:extLst>
            <c:ext xmlns:c16="http://schemas.microsoft.com/office/drawing/2014/chart" uri="{C3380CC4-5D6E-409C-BE32-E72D297353CC}">
              <c16:uniqueId val="{00000003-E954-48F9-993C-11256A0BCA95}"/>
            </c:ext>
          </c:extLst>
        </c:ser>
        <c:ser>
          <c:idx val="4"/>
          <c:order val="4"/>
          <c:spPr>
            <a:ln w="3175">
              <a:solidFill>
                <a:srgbClr val="000000"/>
              </a:solidFill>
              <a:prstDash val="solid"/>
            </a:ln>
          </c:spPr>
          <c:marker>
            <c:symbol val="none"/>
          </c:marker>
          <c:xVal>
            <c:numLit>
              <c:formatCode>General</c:formatCode>
              <c:ptCount val="2"/>
              <c:pt idx="0">
                <c:v>20.329294610239611</c:v>
              </c:pt>
              <c:pt idx="1">
                <c:v>20.175465191086015</c:v>
              </c:pt>
            </c:numLit>
          </c:xVal>
          <c:yVal>
            <c:numLit>
              <c:formatCode>General</c:formatCode>
              <c:ptCount val="2"/>
              <c:pt idx="0">
                <c:v>3.2143034746161765E-2</c:v>
              </c:pt>
              <c:pt idx="1">
                <c:v>3.199223922496934E-2</c:v>
              </c:pt>
            </c:numLit>
          </c:yVal>
          <c:smooth val="0"/>
          <c:extLst>
            <c:ext xmlns:c16="http://schemas.microsoft.com/office/drawing/2014/chart" uri="{C3380CC4-5D6E-409C-BE32-E72D297353CC}">
              <c16:uniqueId val="{00000004-E954-48F9-993C-11256A0BCA95}"/>
            </c:ext>
          </c:extLst>
        </c:ser>
        <c:ser>
          <c:idx val="5"/>
          <c:order val="5"/>
          <c:spPr>
            <a:ln w="3175">
              <a:solidFill>
                <a:srgbClr val="000000"/>
              </a:solidFill>
              <a:prstDash val="solid"/>
            </a:ln>
          </c:spPr>
          <c:marker>
            <c:symbol val="none"/>
          </c:marker>
          <c:xVal>
            <c:numLit>
              <c:formatCode>General</c:formatCode>
              <c:ptCount val="2"/>
              <c:pt idx="0">
                <c:v>19.953902994524441</c:v>
              </c:pt>
              <c:pt idx="1">
                <c:v>19.657505904688708</c:v>
              </c:pt>
            </c:numLit>
          </c:xVal>
          <c:yVal>
            <c:numLit>
              <c:formatCode>General</c:formatCode>
              <c:ptCount val="2"/>
              <c:pt idx="0">
                <c:v>3.227108499189911E-2</c:v>
              </c:pt>
              <c:pt idx="1">
                <c:v>3.196565244214214E-2</c:v>
              </c:pt>
            </c:numLit>
          </c:yVal>
          <c:smooth val="0"/>
          <c:extLst>
            <c:ext xmlns:c16="http://schemas.microsoft.com/office/drawing/2014/chart" uri="{C3380CC4-5D6E-409C-BE32-E72D297353CC}">
              <c16:uniqueId val="{00000005-E954-48F9-993C-11256A0BCA95}"/>
            </c:ext>
          </c:extLst>
        </c:ser>
        <c:ser>
          <c:idx val="6"/>
          <c:order val="6"/>
          <c:spPr>
            <a:ln w="3175">
              <a:solidFill>
                <a:srgbClr val="000000"/>
              </a:solidFill>
              <a:prstDash val="solid"/>
            </a:ln>
          </c:spPr>
          <c:marker>
            <c:symbol val="none"/>
          </c:marker>
          <c:xVal>
            <c:numLit>
              <c:formatCode>General</c:formatCode>
              <c:ptCount val="2"/>
              <c:pt idx="0">
                <c:v>19.564172991587299</c:v>
              </c:pt>
              <c:pt idx="1">
                <c:v>19.421820396713489</c:v>
              </c:pt>
            </c:numLit>
          </c:xVal>
          <c:yVal>
            <c:numLit>
              <c:formatCode>General</c:formatCode>
              <c:ptCount val="2"/>
              <c:pt idx="0">
                <c:v>3.2397386886267948E-2</c:v>
              </c:pt>
              <c:pt idx="1">
                <c:v>3.2242776082973927E-2</c:v>
              </c:pt>
            </c:numLit>
          </c:yVal>
          <c:smooth val="0"/>
          <c:extLst>
            <c:ext xmlns:c16="http://schemas.microsoft.com/office/drawing/2014/chart" uri="{C3380CC4-5D6E-409C-BE32-E72D297353CC}">
              <c16:uniqueId val="{00000006-E954-48F9-993C-11256A0BCA95}"/>
            </c:ext>
          </c:extLst>
        </c:ser>
        <c:ser>
          <c:idx val="7"/>
          <c:order val="7"/>
          <c:spPr>
            <a:ln w="3175">
              <a:solidFill>
                <a:srgbClr val="000000"/>
              </a:solidFill>
              <a:prstDash val="solid"/>
            </a:ln>
          </c:spPr>
          <c:marker>
            <c:symbol val="none"/>
          </c:marker>
          <c:xVal>
            <c:numLit>
              <c:formatCode>General</c:formatCode>
              <c:ptCount val="2"/>
              <c:pt idx="0">
                <c:v>19.159974592290119</c:v>
              </c:pt>
              <c:pt idx="1">
                <c:v>18.887395354521416</c:v>
              </c:pt>
            </c:numLit>
          </c:xVal>
          <c:yVal>
            <c:numLit>
              <c:formatCode>General</c:formatCode>
              <c:ptCount val="2"/>
              <c:pt idx="0">
                <c:v>3.2521491874194126E-2</c:v>
              </c:pt>
              <c:pt idx="1">
                <c:v>3.2208547117968299E-2</c:v>
              </c:pt>
            </c:numLit>
          </c:yVal>
          <c:smooth val="0"/>
          <c:extLst>
            <c:ext xmlns:c16="http://schemas.microsoft.com/office/drawing/2014/chart" uri="{C3380CC4-5D6E-409C-BE32-E72D297353CC}">
              <c16:uniqueId val="{00000007-E954-48F9-993C-11256A0BCA95}"/>
            </c:ext>
          </c:extLst>
        </c:ser>
        <c:ser>
          <c:idx val="8"/>
          <c:order val="8"/>
          <c:spPr>
            <a:ln w="3175">
              <a:solidFill>
                <a:srgbClr val="000000"/>
              </a:solidFill>
              <a:prstDash val="solid"/>
            </a:ln>
          </c:spPr>
          <c:marker>
            <c:symbol val="none"/>
          </c:marker>
          <c:xVal>
            <c:numLit>
              <c:formatCode>General</c:formatCode>
              <c:ptCount val="2"/>
              <c:pt idx="0">
                <c:v>18.741245406977605</c:v>
              </c:pt>
              <c:pt idx="1">
                <c:v>18.611236725872942</c:v>
              </c:pt>
            </c:numLit>
          </c:xVal>
          <c:yVal>
            <c:numLit>
              <c:formatCode>General</c:formatCode>
              <c:ptCount val="2"/>
              <c:pt idx="0">
                <c:v>3.2642925154216053E-2</c:v>
              </c:pt>
              <c:pt idx="1">
                <c:v>3.2484631276902813E-2</c:v>
              </c:pt>
            </c:numLit>
          </c:yVal>
          <c:smooth val="0"/>
          <c:extLst>
            <c:ext xmlns:c16="http://schemas.microsoft.com/office/drawing/2014/chart" uri="{C3380CC4-5D6E-409C-BE32-E72D297353CC}">
              <c16:uniqueId val="{00000008-E954-48F9-993C-11256A0BCA95}"/>
            </c:ext>
          </c:extLst>
        </c:ser>
        <c:ser>
          <c:idx val="9"/>
          <c:order val="9"/>
          <c:spPr>
            <a:ln w="3175">
              <a:solidFill>
                <a:srgbClr val="000000"/>
              </a:solidFill>
              <a:prstDash val="solid"/>
            </a:ln>
          </c:spPr>
          <c:marker>
            <c:symbol val="none"/>
          </c:marker>
          <c:xVal>
            <c:numLit>
              <c:formatCode>General</c:formatCode>
              <c:ptCount val="2"/>
              <c:pt idx="0">
                <c:v>18.307998989942451</c:v>
              </c:pt>
              <c:pt idx="1">
                <c:v>18.060979020244176</c:v>
              </c:pt>
            </c:numLit>
          </c:xVal>
          <c:yVal>
            <c:numLit>
              <c:formatCode>General</c:formatCode>
              <c:ptCount val="2"/>
              <c:pt idx="0">
                <c:v>3.2761188013864406E-2</c:v>
              </c:pt>
              <c:pt idx="1">
                <c:v>3.2441052373448478E-2</c:v>
              </c:pt>
            </c:numLit>
          </c:yVal>
          <c:smooth val="0"/>
          <c:extLst>
            <c:ext xmlns:c16="http://schemas.microsoft.com/office/drawing/2014/chart" uri="{C3380CC4-5D6E-409C-BE32-E72D297353CC}">
              <c16:uniqueId val="{00000009-E954-48F9-993C-11256A0BCA95}"/>
            </c:ext>
          </c:extLst>
        </c:ser>
        <c:ser>
          <c:idx val="10"/>
          <c:order val="10"/>
          <c:spPr>
            <a:ln w="3175">
              <a:solidFill>
                <a:srgbClr val="000000"/>
              </a:solidFill>
              <a:prstDash val="solid"/>
            </a:ln>
          </c:spPr>
          <c:marker>
            <c:symbol val="none"/>
          </c:marker>
          <c:xVal>
            <c:numLit>
              <c:formatCode>General</c:formatCode>
              <c:ptCount val="2"/>
              <c:pt idx="0">
                <c:v>17.860333007968713</c:v>
              </c:pt>
              <c:pt idx="1">
                <c:v>17.743538012849179</c:v>
              </c:pt>
            </c:numLit>
          </c:xVal>
          <c:yVal>
            <c:numLit>
              <c:formatCode>General</c:formatCode>
              <c:ptCount val="2"/>
              <c:pt idx="0">
                <c:v>3.2875760913770279E-2</c:v>
              </c:pt>
              <c:pt idx="1">
                <c:v>3.2713974500063726E-2</c:v>
              </c:pt>
            </c:numLit>
          </c:yVal>
          <c:smooth val="0"/>
          <c:extLst>
            <c:ext xmlns:c16="http://schemas.microsoft.com/office/drawing/2014/chart" uri="{C3380CC4-5D6E-409C-BE32-E72D297353CC}">
              <c16:uniqueId val="{0000000A-E954-48F9-993C-11256A0BCA95}"/>
            </c:ext>
          </c:extLst>
        </c:ser>
        <c:ser>
          <c:idx val="11"/>
          <c:order val="11"/>
          <c:spPr>
            <a:ln w="3175">
              <a:solidFill>
                <a:srgbClr val="000000"/>
              </a:solidFill>
              <a:prstDash val="solid"/>
            </a:ln>
          </c:spPr>
          <c:marker>
            <c:symbol val="none"/>
          </c:marker>
          <c:xVal>
            <c:numLit>
              <c:formatCode>General</c:formatCode>
              <c:ptCount val="2"/>
              <c:pt idx="0">
                <c:v>17.398437019253645</c:v>
              </c:pt>
              <c:pt idx="1">
                <c:v>17.178703908676038</c:v>
              </c:pt>
            </c:numLit>
          </c:xVal>
          <c:yVal>
            <c:numLit>
              <c:formatCode>General</c:formatCode>
              <c:ptCount val="2"/>
              <c:pt idx="0">
                <c:v>3.2986107360359007E-2</c:v>
              </c:pt>
              <c:pt idx="1">
                <c:v>3.2659224139548235E-2</c:v>
              </c:pt>
            </c:numLit>
          </c:yVal>
          <c:smooth val="0"/>
          <c:extLst>
            <c:ext xmlns:c16="http://schemas.microsoft.com/office/drawing/2014/chart" uri="{C3380CC4-5D6E-409C-BE32-E72D297353CC}">
              <c16:uniqueId val="{0000000B-E954-48F9-993C-11256A0BCA95}"/>
            </c:ext>
          </c:extLst>
        </c:ser>
        <c:ser>
          <c:idx val="12"/>
          <c:order val="12"/>
          <c:spPr>
            <a:ln w="3175">
              <a:solidFill>
                <a:srgbClr val="000000"/>
              </a:solidFill>
              <a:prstDash val="solid"/>
            </a:ln>
          </c:spPr>
          <c:marker>
            <c:symbol val="none"/>
          </c:marker>
          <c:xVal>
            <c:numLit>
              <c:formatCode>General</c:formatCode>
              <c:ptCount val="2"/>
              <c:pt idx="0">
                <c:v>16.922599599843867</c:v>
              </c:pt>
              <c:pt idx="1">
                <c:v>16.819870605846209</c:v>
              </c:pt>
            </c:numLit>
          </c:xVal>
          <c:yVal>
            <c:numLit>
              <c:formatCode>General</c:formatCode>
              <c:ptCount val="2"/>
              <c:pt idx="0">
                <c:v>3.3091678585594878E-2</c:v>
              </c:pt>
              <c:pt idx="1">
                <c:v>3.2926653406810953E-2</c:v>
              </c:pt>
            </c:numLit>
          </c:yVal>
          <c:smooth val="0"/>
          <c:extLst>
            <c:ext xmlns:c16="http://schemas.microsoft.com/office/drawing/2014/chart" uri="{C3380CC4-5D6E-409C-BE32-E72D297353CC}">
              <c16:uniqueId val="{0000000C-E954-48F9-993C-11256A0BCA95}"/>
            </c:ext>
          </c:extLst>
        </c:ser>
        <c:ser>
          <c:idx val="13"/>
          <c:order val="13"/>
          <c:spPr>
            <a:ln w="3175">
              <a:solidFill>
                <a:srgbClr val="000000"/>
              </a:solidFill>
              <a:prstDash val="solid"/>
            </a:ln>
          </c:spPr>
          <c:marker>
            <c:symbol val="none"/>
          </c:marker>
          <c:xVal>
            <c:numLit>
              <c:formatCode>General</c:formatCode>
              <c:ptCount val="2"/>
              <c:pt idx="0">
                <c:v>16.433214532085501</c:v>
              </c:pt>
              <c:pt idx="1">
                <c:v>16.242438096122935</c:v>
              </c:pt>
            </c:numLit>
          </c:xVal>
          <c:yVal>
            <c:numLit>
              <c:formatCode>General</c:formatCode>
              <c:ptCount val="2"/>
              <c:pt idx="0">
                <c:v>3.3191919025541465E-2</c:v>
              </c:pt>
              <c:pt idx="1">
                <c:v>3.2858861454775221E-2</c:v>
              </c:pt>
            </c:numLit>
          </c:yVal>
          <c:smooth val="0"/>
          <c:extLst>
            <c:ext xmlns:c16="http://schemas.microsoft.com/office/drawing/2014/chart" uri="{C3380CC4-5D6E-409C-BE32-E72D297353CC}">
              <c16:uniqueId val="{0000000D-E954-48F9-993C-11256A0BCA95}"/>
            </c:ext>
          </c:extLst>
        </c:ser>
        <c:ser>
          <c:idx val="14"/>
          <c:order val="14"/>
          <c:spPr>
            <a:ln w="3175">
              <a:solidFill>
                <a:srgbClr val="000000"/>
              </a:solidFill>
              <a:prstDash val="solid"/>
            </a:ln>
          </c:spPr>
          <c:marker>
            <c:symbol val="none"/>
          </c:marker>
          <c:xVal>
            <c:numLit>
              <c:formatCode>General</c:formatCode>
              <c:ptCount val="2"/>
              <c:pt idx="0">
                <c:v>15.930785756359489</c:v>
              </c:pt>
              <c:pt idx="1">
                <c:v>15.842933970014096</c:v>
              </c:pt>
            </c:numLit>
          </c:xVal>
          <c:yVal>
            <c:numLit>
              <c:formatCode>General</c:formatCode>
              <c:ptCount val="2"/>
              <c:pt idx="0">
                <c:v>3.3286272557953876E-2</c:v>
              </c:pt>
              <c:pt idx="1">
                <c:v>3.3118328469584568E-2</c:v>
              </c:pt>
            </c:numLit>
          </c:yVal>
          <c:smooth val="0"/>
          <c:extLst>
            <c:ext xmlns:c16="http://schemas.microsoft.com/office/drawing/2014/chart" uri="{C3380CC4-5D6E-409C-BE32-E72D297353CC}">
              <c16:uniqueId val="{0000000E-E954-48F9-993C-11256A0BCA95}"/>
            </c:ext>
          </c:extLst>
        </c:ser>
        <c:ser>
          <c:idx val="15"/>
          <c:order val="15"/>
          <c:spPr>
            <a:ln w="3175">
              <a:solidFill>
                <a:srgbClr val="000000"/>
              </a:solidFill>
              <a:prstDash val="solid"/>
            </a:ln>
          </c:spPr>
          <c:marker>
            <c:symbol val="none"/>
          </c:marker>
          <c:xVal>
            <c:numLit>
              <c:formatCode>General</c:formatCode>
              <c:ptCount val="2"/>
              <c:pt idx="0">
                <c:v>15.415930786412972</c:v>
              </c:pt>
              <c:pt idx="1">
                <c:v>15.255672862820582</c:v>
              </c:pt>
            </c:numLit>
          </c:xVal>
          <c:yVal>
            <c:numLit>
              <c:formatCode>General</c:formatCode>
              <c:ptCount val="2"/>
              <c:pt idx="0">
                <c:v>3.3374189423675982E-2</c:v>
              </c:pt>
              <c:pt idx="1">
                <c:v>3.3035663740965705E-2</c:v>
              </c:pt>
            </c:numLit>
          </c:yVal>
          <c:smooth val="0"/>
          <c:extLst>
            <c:ext xmlns:c16="http://schemas.microsoft.com/office/drawing/2014/chart" uri="{C3380CC4-5D6E-409C-BE32-E72D297353CC}">
              <c16:uniqueId val="{0000000F-E954-48F9-993C-11256A0BCA95}"/>
            </c:ext>
          </c:extLst>
        </c:ser>
        <c:ser>
          <c:idx val="16"/>
          <c:order val="16"/>
          <c:spPr>
            <a:ln w="3175">
              <a:solidFill>
                <a:srgbClr val="000000"/>
              </a:solidFill>
              <a:prstDash val="solid"/>
            </a:ln>
          </c:spPr>
          <c:marker>
            <c:symbol val="none"/>
          </c:marker>
          <c:xVal>
            <c:numLit>
              <c:formatCode>General</c:formatCode>
              <c:ptCount val="2"/>
              <c:pt idx="0">
                <c:v>14.88938230247139</c:v>
              </c:pt>
              <c:pt idx="1">
                <c:v>14.817151567934317</c:v>
              </c:pt>
            </c:numLit>
          </c:xVal>
          <c:yVal>
            <c:numLit>
              <c:formatCode>General</c:formatCode>
              <c:ptCount val="2"/>
              <c:pt idx="0">
                <c:v>3.3455133718764594E-2</c:v>
              </c:pt>
              <c:pt idx="1">
                <c:v>3.3284656712983127E-2</c:v>
              </c:pt>
            </c:numLit>
          </c:yVal>
          <c:smooth val="0"/>
          <c:extLst>
            <c:ext xmlns:c16="http://schemas.microsoft.com/office/drawing/2014/chart" uri="{C3380CC4-5D6E-409C-BE32-E72D297353CC}">
              <c16:uniqueId val="{00000010-E954-48F9-993C-11256A0BCA95}"/>
            </c:ext>
          </c:extLst>
        </c:ser>
        <c:ser>
          <c:idx val="17"/>
          <c:order val="17"/>
          <c:spPr>
            <a:ln w="3175">
              <a:solidFill>
                <a:srgbClr val="000000"/>
              </a:solidFill>
              <a:prstDash val="solid"/>
            </a:ln>
          </c:spPr>
          <c:marker>
            <c:symbol val="none"/>
          </c:marker>
          <c:xVal>
            <c:numLit>
              <c:formatCode>General</c:formatCode>
              <c:ptCount val="2"/>
              <c:pt idx="0">
                <c:v>14.351987666971201</c:v>
              </c:pt>
              <c:pt idx="1">
                <c:v>14.223648036962064</c:v>
              </c:pt>
            </c:numLit>
          </c:xVal>
          <c:yVal>
            <c:numLit>
              <c:formatCode>General</c:formatCode>
              <c:ptCount val="2"/>
              <c:pt idx="0">
                <c:v>3.3528591306009554E-2</c:v>
              </c:pt>
              <c:pt idx="1">
                <c:v>3.3185433566829264E-2</c:v>
              </c:pt>
            </c:numLit>
          </c:yVal>
          <c:smooth val="0"/>
          <c:extLst>
            <c:ext xmlns:c16="http://schemas.microsoft.com/office/drawing/2014/chart" uri="{C3380CC4-5D6E-409C-BE32-E72D297353CC}">
              <c16:uniqueId val="{00000011-E954-48F9-993C-11256A0BCA95}"/>
            </c:ext>
          </c:extLst>
        </c:ser>
        <c:ser>
          <c:idx val="18"/>
          <c:order val="18"/>
          <c:spPr>
            <a:ln w="3175">
              <a:solidFill>
                <a:srgbClr val="000000"/>
              </a:solidFill>
              <a:prstDash val="solid"/>
            </a:ln>
          </c:spPr>
          <c:marker>
            <c:symbol val="none"/>
          </c:marker>
          <c:xVal>
            <c:numLit>
              <c:formatCode>General</c:formatCode>
              <c:ptCount val="2"/>
              <c:pt idx="0">
                <c:v>13.804706156184448</c:v>
              </c:pt>
              <c:pt idx="1">
                <c:v>13.74874556384168</c:v>
              </c:pt>
            </c:numLit>
          </c:xVal>
          <c:yVal>
            <c:numLit>
              <c:formatCode>General</c:formatCode>
              <c:ptCount val="2"/>
              <c:pt idx="0">
                <c:v>3.3594077958317668E-2</c:v>
              </c:pt>
              <c:pt idx="1">
                <c:v>3.3421516788942902E-2</c:v>
              </c:pt>
            </c:numLit>
          </c:yVal>
          <c:smooth val="0"/>
          <c:extLst>
            <c:ext xmlns:c16="http://schemas.microsoft.com/office/drawing/2014/chart" uri="{C3380CC4-5D6E-409C-BE32-E72D297353CC}">
              <c16:uniqueId val="{00000012-E954-48F9-993C-11256A0BCA95}"/>
            </c:ext>
          </c:extLst>
        </c:ser>
        <c:ser>
          <c:idx val="19"/>
          <c:order val="19"/>
          <c:spPr>
            <a:ln w="3175">
              <a:solidFill>
                <a:srgbClr val="000000"/>
              </a:solidFill>
              <a:prstDash val="solid"/>
            </a:ln>
          </c:spPr>
          <c:marker>
            <c:symbol val="none"/>
          </c:marker>
          <c:xVal>
            <c:numLit>
              <c:formatCode>General</c:formatCode>
              <c:ptCount val="2"/>
              <c:pt idx="0">
                <c:v>13.248603766949927</c:v>
              </c:pt>
              <c:pt idx="1">
                <c:v>13.153365653941428</c:v>
              </c:pt>
            </c:numLit>
          </c:xVal>
          <c:yVal>
            <c:numLit>
              <c:formatCode>General</c:formatCode>
              <c:ptCount val="2"/>
              <c:pt idx="0">
                <c:v>3.3651147515029074E-2</c:v>
              </c:pt>
              <c:pt idx="1">
                <c:v>3.3304313089578201E-2</c:v>
              </c:pt>
            </c:numLit>
          </c:yVal>
          <c:smooth val="0"/>
          <c:extLst>
            <c:ext xmlns:c16="http://schemas.microsoft.com/office/drawing/2014/chart" uri="{C3380CC4-5D6E-409C-BE32-E72D297353CC}">
              <c16:uniqueId val="{00000013-E954-48F9-993C-11256A0BCA95}"/>
            </c:ext>
          </c:extLst>
        </c:ser>
        <c:ser>
          <c:idx val="20"/>
          <c:order val="20"/>
          <c:spPr>
            <a:ln w="3175">
              <a:solidFill>
                <a:srgbClr val="000000"/>
              </a:solidFill>
              <a:prstDash val="solid"/>
            </a:ln>
          </c:spPr>
          <c:marker>
            <c:symbol val="none"/>
          </c:marker>
          <c:xVal>
            <c:numLit>
              <c:formatCode>General</c:formatCode>
              <c:ptCount val="2"/>
              <c:pt idx="0">
                <c:v>12.684845539431716</c:v>
              </c:pt>
              <c:pt idx="1">
                <c:v>12.64568285634024</c:v>
              </c:pt>
            </c:numLit>
          </c:xVal>
          <c:yVal>
            <c:numLit>
              <c:formatCode>General</c:formatCode>
              <c:ptCount val="2"/>
              <c:pt idx="0">
                <c:v>3.3699399808470261E-2</c:v>
              </c:pt>
              <c:pt idx="1">
                <c:v>3.3525258811343203E-2</c:v>
              </c:pt>
            </c:numLit>
          </c:yVal>
          <c:smooth val="0"/>
          <c:extLst>
            <c:ext xmlns:c16="http://schemas.microsoft.com/office/drawing/2014/chart" uri="{C3380CC4-5D6E-409C-BE32-E72D297353CC}">
              <c16:uniqueId val="{00000014-E954-48F9-993C-11256A0BCA95}"/>
            </c:ext>
          </c:extLst>
        </c:ser>
        <c:ser>
          <c:idx val="21"/>
          <c:order val="21"/>
          <c:spPr>
            <a:ln w="3175">
              <a:solidFill>
                <a:srgbClr val="000000"/>
              </a:solidFill>
              <a:prstDash val="solid"/>
            </a:ln>
          </c:spPr>
          <c:marker>
            <c:symbol val="none"/>
          </c:marker>
          <c:xVal>
            <c:numLit>
              <c:formatCode>General</c:formatCode>
              <c:ptCount val="2"/>
              <c:pt idx="0">
                <c:v>12.114685430962217</c:v>
              </c:pt>
              <c:pt idx="1">
                <c:v>12.05346486803335</c:v>
              </c:pt>
            </c:numLit>
          </c:xVal>
          <c:yVal>
            <c:numLit>
              <c:formatCode>General</c:formatCode>
              <c:ptCount val="2"/>
              <c:pt idx="0">
                <c:v>3.3738488104561926E-2</c:v>
              </c:pt>
              <c:pt idx="1">
                <c:v>3.338903346142507E-2</c:v>
              </c:pt>
            </c:numLit>
          </c:yVal>
          <c:smooth val="0"/>
          <c:extLst>
            <c:ext xmlns:c16="http://schemas.microsoft.com/office/drawing/2014/chart" uri="{C3380CC4-5D6E-409C-BE32-E72D297353CC}">
              <c16:uniqueId val="{00000015-E954-48F9-993C-11256A0BCA95}"/>
            </c:ext>
          </c:extLst>
        </c:ser>
        <c:ser>
          <c:idx val="22"/>
          <c:order val="22"/>
          <c:spPr>
            <a:ln w="3175">
              <a:solidFill>
                <a:srgbClr val="000000"/>
              </a:solidFill>
              <a:prstDash val="solid"/>
            </a:ln>
          </c:spPr>
          <c:marker>
            <c:symbol val="none"/>
          </c:marker>
          <c:xVal>
            <c:numLit>
              <c:formatCode>General</c:formatCode>
              <c:ptCount val="2"/>
              <c:pt idx="0">
                <c:v>11.539453877756367</c:v>
              </c:pt>
              <c:pt idx="1">
                <c:v>11.517472069590021</c:v>
              </c:pt>
            </c:numLit>
          </c:xVal>
          <c:yVal>
            <c:numLit>
              <c:formatCode>General</c:formatCode>
              <c:ptCount val="2"/>
              <c:pt idx="0">
                <c:v>3.3768125800244846E-2</c:v>
              </c:pt>
              <c:pt idx="1">
                <c:v>3.3592953913241172E-2</c:v>
              </c:pt>
            </c:numLit>
          </c:yVal>
          <c:smooth val="0"/>
          <c:extLst>
            <c:ext xmlns:c16="http://schemas.microsoft.com/office/drawing/2014/chart" uri="{C3380CC4-5D6E-409C-BE32-E72D297353CC}">
              <c16:uniqueId val="{00000016-E954-48F9-993C-11256A0BCA95}"/>
            </c:ext>
          </c:extLst>
        </c:ser>
        <c:ser>
          <c:idx val="23"/>
          <c:order val="23"/>
          <c:spPr>
            <a:ln w="3175">
              <a:solidFill>
                <a:srgbClr val="000000"/>
              </a:solidFill>
              <a:prstDash val="solid"/>
            </a:ln>
          </c:spPr>
          <c:marker>
            <c:symbol val="none"/>
          </c:marker>
          <c:xVal>
            <c:numLit>
              <c:formatCode>General</c:formatCode>
              <c:ptCount val="2"/>
              <c:pt idx="0">
                <c:v>10.960543284530706</c:v>
              </c:pt>
              <c:pt idx="1">
                <c:v>10.933946985994785</c:v>
              </c:pt>
            </c:numLit>
          </c:xVal>
          <c:yVal>
            <c:numLit>
              <c:formatCode>General</c:formatCode>
              <c:ptCount val="2"/>
              <c:pt idx="0">
                <c:v>3.3788092133235761E-2</c:v>
              </c:pt>
              <c:pt idx="1">
                <c:v>3.3437149369238688E-2</c:v>
              </c:pt>
            </c:numLit>
          </c:yVal>
          <c:smooth val="0"/>
          <c:extLst>
            <c:ext xmlns:c16="http://schemas.microsoft.com/office/drawing/2014/chart" uri="{C3380CC4-5D6E-409C-BE32-E72D297353CC}">
              <c16:uniqueId val="{00000017-E954-48F9-993C-11256A0BCA95}"/>
            </c:ext>
          </c:extLst>
        </c:ser>
        <c:ser>
          <c:idx val="24"/>
          <c:order val="24"/>
          <c:spPr>
            <a:ln w="3175">
              <a:solidFill>
                <a:srgbClr val="000000"/>
              </a:solidFill>
              <a:prstDash val="solid"/>
            </a:ln>
          </c:spPr>
          <c:marker>
            <c:symbol val="none"/>
          </c:marker>
          <c:xVal>
            <c:numLit>
              <c:formatCode>General</c:formatCode>
              <c:ptCount val="2"/>
              <c:pt idx="0">
                <c:v>10.379391779974689</c:v>
              </c:pt>
              <c:pt idx="1">
                <c:v>10.374810903275069</c:v>
              </c:pt>
            </c:numLit>
          </c:xVal>
          <c:yVal>
            <c:numLit>
              <c:formatCode>General</c:formatCode>
              <c:ptCount val="2"/>
              <c:pt idx="0">
                <c:v>3.3798236686529787E-2</c:v>
              </c:pt>
              <c:pt idx="1">
                <c:v>3.3622613136231841E-2</c:v>
              </c:pt>
            </c:numLit>
          </c:yVal>
          <c:smooth val="0"/>
          <c:extLst>
            <c:ext xmlns:c16="http://schemas.microsoft.com/office/drawing/2014/chart" uri="{C3380CC4-5D6E-409C-BE32-E72D297353CC}">
              <c16:uniqueId val="{00000018-E954-48F9-993C-11256A0BCA95}"/>
            </c:ext>
          </c:extLst>
        </c:ser>
        <c:ser>
          <c:idx val="25"/>
          <c:order val="25"/>
          <c:spPr>
            <a:ln w="3175">
              <a:solidFill>
                <a:srgbClr val="000000"/>
              </a:solidFill>
              <a:prstDash val="solid"/>
            </a:ln>
          </c:spPr>
          <c:marker>
            <c:symbol val="none"/>
          </c:marker>
          <c:xVal>
            <c:numLit>
              <c:formatCode>General</c:formatCode>
              <c:ptCount val="2"/>
              <c:pt idx="0">
                <c:v>9.7974656615855071</c:v>
              </c:pt>
              <c:pt idx="1">
                <c:v>9.805761691737942</c:v>
              </c:pt>
            </c:numLit>
          </c:xVal>
          <c:yVal>
            <c:numLit>
              <c:formatCode>General</c:formatCode>
              <c:ptCount val="2"/>
              <c:pt idx="0">
                <c:v>3.3798482510310618E-2</c:v>
              </c:pt>
              <c:pt idx="1">
                <c:v>3.3447228035001303E-2</c:v>
              </c:pt>
            </c:numLit>
          </c:yVal>
          <c:smooth val="0"/>
          <c:extLst>
            <c:ext xmlns:c16="http://schemas.microsoft.com/office/drawing/2014/chart" uri="{C3380CC4-5D6E-409C-BE32-E72D297353CC}">
              <c16:uniqueId val="{00000019-E954-48F9-993C-11256A0BCA95}"/>
            </c:ext>
          </c:extLst>
        </c:ser>
        <c:ser>
          <c:idx val="26"/>
          <c:order val="26"/>
          <c:spPr>
            <a:ln w="3175">
              <a:solidFill>
                <a:srgbClr val="000000"/>
              </a:solidFill>
              <a:prstDash val="solid"/>
            </a:ln>
          </c:spPr>
          <c:marker>
            <c:symbol val="none"/>
          </c:marker>
          <c:xVal>
            <c:numLit>
              <c:formatCode>General</c:formatCode>
              <c:ptCount val="2"/>
              <c:pt idx="0">
                <c:v>9.2162410201077183</c:v>
              </c:pt>
              <c:pt idx="1">
                <c:v>9.2291074048061024</c:v>
              </c:pt>
            </c:numLit>
          </c:xVal>
          <c:yVal>
            <c:numLit>
              <c:formatCode>General</c:formatCode>
              <c:ptCount val="2"/>
              <c:pt idx="0">
                <c:v>3.3788827735515635E-2</c:v>
              </c:pt>
              <c:pt idx="1">
                <c:v>3.3613345319482901E-2</c:v>
              </c:pt>
            </c:numLit>
          </c:yVal>
          <c:smooth val="0"/>
          <c:extLst>
            <c:ext xmlns:c16="http://schemas.microsoft.com/office/drawing/2014/chart" uri="{C3380CC4-5D6E-409C-BE32-E72D297353CC}">
              <c16:uniqueId val="{0000001A-E954-48F9-993C-11256A0BCA95}"/>
            </c:ext>
          </c:extLst>
        </c:ser>
        <c:ser>
          <c:idx val="27"/>
          <c:order val="27"/>
          <c:spPr>
            <a:ln w="3175">
              <a:solidFill>
                <a:srgbClr val="000000"/>
              </a:solidFill>
              <a:prstDash val="solid"/>
            </a:ln>
          </c:spPr>
          <c:marker>
            <c:symbol val="none"/>
          </c:marker>
          <c:xVal>
            <c:numLit>
              <c:formatCode>General</c:formatCode>
              <c:ptCount val="2"/>
              <c:pt idx="0">
                <c:v>8.6371850764557383</c:v>
              </c:pt>
              <c:pt idx="1">
                <c:v>8.680289524162065</c:v>
              </c:pt>
            </c:numLit>
          </c:xVal>
          <c:yVal>
            <c:numLit>
              <c:formatCode>General</c:formatCode>
              <c:ptCount val="2"/>
              <c:pt idx="0">
                <c:v>3.3769345613166808E-2</c:v>
              </c:pt>
              <c:pt idx="1">
                <c:v>3.3418965244771809E-2</c:v>
              </c:pt>
            </c:numLit>
          </c:yVal>
          <c:smooth val="0"/>
          <c:extLst>
            <c:ext xmlns:c16="http://schemas.microsoft.com/office/drawing/2014/chart" uri="{C3380CC4-5D6E-409C-BE32-E72D297353CC}">
              <c16:uniqueId val="{0000001B-E954-48F9-993C-11256A0BCA95}"/>
            </c:ext>
          </c:extLst>
        </c:ser>
        <c:ser>
          <c:idx val="28"/>
          <c:order val="28"/>
          <c:spPr>
            <a:ln w="3175">
              <a:solidFill>
                <a:srgbClr val="000000"/>
              </a:solidFill>
              <a:prstDash val="solid"/>
            </a:ln>
          </c:spPr>
          <c:marker>
            <c:symbol val="none"/>
          </c:marker>
          <c:xVal>
            <c:numLit>
              <c:formatCode>General</c:formatCode>
              <c:ptCount val="2"/>
              <c:pt idx="0">
                <c:v>8.0617377790935691</c:v>
              </c:pt>
              <c:pt idx="1">
                <c:v>8.0919217124071654</c:v>
              </c:pt>
            </c:numLit>
          </c:xVal>
          <c:yVal>
            <c:numLit>
              <c:formatCode>General</c:formatCode>
              <c:ptCount val="2"/>
              <c:pt idx="0">
                <c:v>3.3740182977853764E-2</c:v>
              </c:pt>
              <c:pt idx="1">
                <c:v>3.3565430233185957E-2</c:v>
              </c:pt>
            </c:numLit>
          </c:yVal>
          <c:smooth val="0"/>
          <c:extLst>
            <c:ext xmlns:c16="http://schemas.microsoft.com/office/drawing/2014/chart" uri="{C3380CC4-5D6E-409C-BE32-E72D297353CC}">
              <c16:uniqueId val="{0000001C-E954-48F9-993C-11256A0BCA95}"/>
            </c:ext>
          </c:extLst>
        </c:ser>
        <c:ser>
          <c:idx val="29"/>
          <c:order val="29"/>
          <c:spPr>
            <a:ln w="3175">
              <a:solidFill>
                <a:srgbClr val="000000"/>
              </a:solidFill>
              <a:prstDash val="solid"/>
            </a:ln>
          </c:spPr>
          <c:marker>
            <c:symbol val="none"/>
          </c:marker>
          <c:xVal>
            <c:numLit>
              <c:formatCode>General</c:formatCode>
              <c:ptCount val="2"/>
              <c:pt idx="0">
                <c:v>7.4912941961672548</c:v>
              </c:pt>
              <c:pt idx="1">
                <c:v>7.5687753702822365</c:v>
              </c:pt>
            </c:numLit>
          </c:xVal>
          <c:yVal>
            <c:numLit>
              <c:formatCode>General</c:formatCode>
              <c:ptCount val="2"/>
              <c:pt idx="0">
                <c:v>3.3701557198139706E-2</c:v>
              </c:pt>
              <c:pt idx="1">
                <c:v>3.3353210482195514E-2</c:v>
              </c:pt>
            </c:numLit>
          </c:yVal>
          <c:smooth val="0"/>
          <c:extLst>
            <c:ext xmlns:c16="http://schemas.microsoft.com/office/drawing/2014/chart" uri="{C3380CC4-5D6E-409C-BE32-E72D297353CC}">
              <c16:uniqueId val="{0000001D-E954-48F9-993C-11256A0BCA95}"/>
            </c:ext>
          </c:extLst>
        </c:ser>
        <c:ser>
          <c:idx val="30"/>
          <c:order val="30"/>
          <c:spPr>
            <a:ln w="3175">
              <a:solidFill>
                <a:srgbClr val="000000"/>
              </a:solidFill>
              <a:prstDash val="solid"/>
            </a:ln>
          </c:spPr>
          <c:marker>
            <c:symbol val="none"/>
          </c:marker>
          <c:xVal>
            <c:numLit>
              <c:formatCode>General</c:formatCode>
              <c:ptCount val="2"/>
              <c:pt idx="0">
                <c:v>6.9271881953506291</c:v>
              </c:pt>
              <c:pt idx="1">
                <c:v>6.9743903724203697</c:v>
              </c:pt>
            </c:numLit>
          </c:xVal>
          <c:yVal>
            <c:numLit>
              <c:formatCode>General</c:formatCode>
              <c:ptCount val="2"/>
              <c:pt idx="0">
                <c:v>3.3653751736839814E-2</c:v>
              </c:pt>
              <c:pt idx="1">
                <c:v>3.3480295460787214E-2</c:v>
              </c:pt>
            </c:numLit>
          </c:yVal>
          <c:smooth val="0"/>
          <c:extLst>
            <c:ext xmlns:c16="http://schemas.microsoft.com/office/drawing/2014/chart" uri="{C3380CC4-5D6E-409C-BE32-E72D297353CC}">
              <c16:uniqueId val="{0000001E-E954-48F9-993C-11256A0BCA95}"/>
            </c:ext>
          </c:extLst>
        </c:ser>
        <c:ser>
          <c:idx val="31"/>
          <c:order val="31"/>
          <c:spPr>
            <a:ln w="3175">
              <a:solidFill>
                <a:srgbClr val="000000"/>
              </a:solidFill>
              <a:prstDash val="solid"/>
            </a:ln>
          </c:spPr>
          <c:marker>
            <c:symbol val="none"/>
          </c:marker>
          <c:xVal>
            <c:numLit>
              <c:formatCode>General</c:formatCode>
              <c:ptCount val="2"/>
              <c:pt idx="0">
                <c:v>6.3706778387186072</c:v>
              </c:pt>
              <c:pt idx="1">
                <c:v>6.4817775035570495</c:v>
              </c:pt>
            </c:numLit>
          </c:xVal>
          <c:yVal>
            <c:numLit>
              <c:formatCode>General</c:formatCode>
              <c:ptCount val="2"/>
              <c:pt idx="0">
                <c:v>3.359711049619804E-2</c:v>
              </c:pt>
              <c:pt idx="1">
                <c:v>3.32518971813121E-2</c:v>
              </c:pt>
            </c:numLit>
          </c:yVal>
          <c:smooth val="0"/>
          <c:extLst>
            <c:ext xmlns:c16="http://schemas.microsoft.com/office/drawing/2014/chart" uri="{C3380CC4-5D6E-409C-BE32-E72D297353CC}">
              <c16:uniqueId val="{0000001F-E954-48F9-993C-11256A0BCA95}"/>
            </c:ext>
          </c:extLst>
        </c:ser>
        <c:ser>
          <c:idx val="32"/>
          <c:order val="32"/>
          <c:spPr>
            <a:ln w="3175">
              <a:solidFill>
                <a:srgbClr val="000000"/>
              </a:solidFill>
              <a:prstDash val="solid"/>
            </a:ln>
          </c:spPr>
          <c:marker>
            <c:symbol val="none"/>
          </c:marker>
          <c:xVal>
            <c:numLit>
              <c:formatCode>General</c:formatCode>
              <c:ptCount val="2"/>
              <c:pt idx="0">
                <c:v>5.8229328351873759</c:v>
              </c:pt>
              <c:pt idx="1">
                <c:v>5.8866988426595661</c:v>
              </c:pt>
            </c:numLit>
          </c:xVal>
          <c:yVal>
            <c:numLit>
              <c:formatCode>General</c:formatCode>
              <c:ptCount val="2"/>
              <c:pt idx="0">
                <c:v>3.3532031163852456E-2</c:v>
              </c:pt>
              <c:pt idx="1">
                <c:v>3.3360400696394669E-2</c:v>
              </c:pt>
            </c:numLit>
          </c:yVal>
          <c:smooth val="0"/>
          <c:extLst>
            <c:ext xmlns:c16="http://schemas.microsoft.com/office/drawing/2014/chart" uri="{C3380CC4-5D6E-409C-BE32-E72D297353CC}">
              <c16:uniqueId val="{00000020-E954-48F9-993C-11256A0BCA95}"/>
            </c:ext>
          </c:extLst>
        </c:ser>
        <c:ser>
          <c:idx val="33"/>
          <c:order val="33"/>
          <c:spPr>
            <a:ln w="3175">
              <a:solidFill>
                <a:srgbClr val="000000"/>
              </a:solidFill>
              <a:prstDash val="solid"/>
            </a:ln>
          </c:spPr>
          <c:marker>
            <c:symbol val="none"/>
          </c:marker>
          <c:xVal>
            <c:numLit>
              <c:formatCode>General</c:formatCode>
              <c:ptCount val="2"/>
              <c:pt idx="0">
                <c:v>5.2850242955956563</c:v>
              </c:pt>
              <c:pt idx="1">
                <c:v>5.4286935667277874</c:v>
              </c:pt>
            </c:numLit>
          </c:xVal>
          <c:yVal>
            <c:numLit>
              <c:formatCode>General</c:formatCode>
              <c:ptCount val="2"/>
              <c:pt idx="0">
                <c:v>3.3458957803074306E-2</c:v>
              </c:pt>
              <c:pt idx="1">
                <c:v>3.3117889068982075E-2</c:v>
              </c:pt>
            </c:numLit>
          </c:yVal>
          <c:smooth val="0"/>
          <c:extLst>
            <c:ext xmlns:c16="http://schemas.microsoft.com/office/drawing/2014/chart" uri="{C3380CC4-5D6E-409C-BE32-E72D297353CC}">
              <c16:uniqueId val="{00000021-E954-48F9-993C-11256A0BCA95}"/>
            </c:ext>
          </c:extLst>
        </c:ser>
        <c:ser>
          <c:idx val="34"/>
          <c:order val="34"/>
          <c:spPr>
            <a:ln w="3175">
              <a:solidFill>
                <a:srgbClr val="000000"/>
              </a:solidFill>
              <a:prstDash val="solid"/>
            </a:ln>
          </c:spPr>
          <c:marker>
            <c:symbol val="none"/>
          </c:marker>
          <c:xVal>
            <c:numLit>
              <c:formatCode>General</c:formatCode>
              <c:ptCount val="2"/>
              <c:pt idx="0">
                <c:v>4.757916932353166</c:v>
              </c:pt>
              <c:pt idx="1">
                <c:v>4.8376581783678683</c:v>
              </c:pt>
            </c:numLit>
          </c:xVal>
          <c:yVal>
            <c:numLit>
              <c:formatCode>General</c:formatCode>
              <c:ptCount val="2"/>
              <c:pt idx="0">
                <c:v>3.3378372944217985E-2</c:v>
              </c:pt>
              <c:pt idx="1">
                <c:v>3.3209047350054713E-2</c:v>
              </c:pt>
            </c:numLit>
          </c:yVal>
          <c:smooth val="0"/>
          <c:extLst>
            <c:ext xmlns:c16="http://schemas.microsoft.com/office/drawing/2014/chart" uri="{C3380CC4-5D6E-409C-BE32-E72D297353CC}">
              <c16:uniqueId val="{00000022-E954-48F9-993C-11256A0BCA95}"/>
            </c:ext>
          </c:extLst>
        </c:ser>
        <c:ser>
          <c:idx val="35"/>
          <c:order val="35"/>
          <c:spPr>
            <a:ln w="3175">
              <a:solidFill>
                <a:srgbClr val="000000"/>
              </a:solidFill>
              <a:prstDash val="solid"/>
            </a:ln>
          </c:spPr>
          <c:marker>
            <c:symbol val="none"/>
          </c:marker>
          <c:xVal>
            <c:numLit>
              <c:formatCode>General</c:formatCode>
              <c:ptCount val="2"/>
              <c:pt idx="0">
                <c:v>4.2424637436261801</c:v>
              </c:pt>
              <c:pt idx="1">
                <c:v>4.4174098313173955</c:v>
              </c:pt>
            </c:numLit>
          </c:xVal>
          <c:yVal>
            <c:numLit>
              <c:formatCode>General</c:formatCode>
              <c:ptCount val="2"/>
              <c:pt idx="0">
                <c:v>3.3290789433924058E-2</c:v>
              </c:pt>
              <c:pt idx="1">
                <c:v>3.2954765750906334E-2</c:v>
              </c:pt>
            </c:numLit>
          </c:yVal>
          <c:smooth val="0"/>
          <c:extLst>
            <c:ext xmlns:c16="http://schemas.microsoft.com/office/drawing/2014/chart" uri="{C3380CC4-5D6E-409C-BE32-E72D297353CC}">
              <c16:uniqueId val="{00000023-E954-48F9-993C-11256A0BCA95}"/>
            </c:ext>
          </c:extLst>
        </c:ser>
        <c:ser>
          <c:idx val="36"/>
          <c:order val="36"/>
          <c:spPr>
            <a:ln w="3175">
              <a:solidFill>
                <a:srgbClr val="000000"/>
              </a:solidFill>
              <a:prstDash val="solid"/>
            </a:ln>
          </c:spPr>
          <c:marker>
            <c:symbol val="none"/>
          </c:marker>
          <c:xVal>
            <c:numLit>
              <c:formatCode>General</c:formatCode>
              <c:ptCount val="2"/>
              <c:pt idx="0">
                <c:v>3.739403127391058</c:v>
              </c:pt>
              <c:pt idx="1">
                <c:v>3.8344220804801923</c:v>
              </c:pt>
            </c:numLit>
          </c:xVal>
          <c:yVal>
            <c:numLit>
              <c:formatCode>General</c:formatCode>
              <c:ptCount val="2"/>
              <c:pt idx="0">
                <c:v>3.3196742285702373E-2</c:v>
              </c:pt>
              <c:pt idx="1">
                <c:v>3.3030141151416836E-2</c:v>
              </c:pt>
            </c:numLit>
          </c:yVal>
          <c:smooth val="0"/>
          <c:extLst>
            <c:ext xmlns:c16="http://schemas.microsoft.com/office/drawing/2014/chart" uri="{C3380CC4-5D6E-409C-BE32-E72D297353CC}">
              <c16:uniqueId val="{00000024-E954-48F9-993C-11256A0BCA95}"/>
            </c:ext>
          </c:extLst>
        </c:ser>
        <c:ser>
          <c:idx val="37"/>
          <c:order val="37"/>
          <c:spPr>
            <a:ln w="3175">
              <a:solidFill>
                <a:srgbClr val="000000"/>
              </a:solidFill>
              <a:prstDash val="solid"/>
            </a:ln>
          </c:spPr>
          <c:marker>
            <c:symbol val="none"/>
          </c:marker>
          <c:xVal>
            <c:numLit>
              <c:formatCode>General</c:formatCode>
              <c:ptCount val="2"/>
              <c:pt idx="0">
                <c:v>3.2493582882727892</c:v>
              </c:pt>
              <c:pt idx="1">
                <c:v>3.4540975396246059</c:v>
              </c:pt>
            </c:numLit>
          </c:xVal>
          <c:yVal>
            <c:numLit>
              <c:formatCode>General</c:formatCode>
              <c:ptCount val="2"/>
              <c:pt idx="0">
                <c:v>3.3096780752208496E-2</c:v>
              </c:pt>
              <c:pt idx="1">
                <c:v>3.2766577329642242E-2</c:v>
              </c:pt>
            </c:numLit>
          </c:yVal>
          <c:smooth val="0"/>
          <c:extLst>
            <c:ext xmlns:c16="http://schemas.microsoft.com/office/drawing/2014/chart" uri="{C3380CC4-5D6E-409C-BE32-E72D297353CC}">
              <c16:uniqueId val="{00000025-E954-48F9-993C-11256A0BCA95}"/>
            </c:ext>
          </c:extLst>
        </c:ser>
        <c:ser>
          <c:idx val="38"/>
          <c:order val="38"/>
          <c:spPr>
            <a:ln w="3175">
              <a:solidFill>
                <a:srgbClr val="000000"/>
              </a:solidFill>
              <a:prstDash val="solid"/>
            </a:ln>
          </c:spPr>
          <c:marker>
            <c:symbol val="none"/>
          </c:marker>
          <c:xVal>
            <c:numLit>
              <c:formatCode>General</c:formatCode>
              <c:ptCount val="2"/>
              <c:pt idx="0">
                <c:v>2.7728387333059592</c:v>
              </c:pt>
              <c:pt idx="1">
                <c:v>2.8823561523063699</c:v>
              </c:pt>
            </c:numLit>
          </c:xVal>
          <c:yVal>
            <c:numLit>
              <c:formatCode>General</c:formatCode>
              <c:ptCount val="2"/>
              <c:pt idx="0">
                <c:v>3.299146080843951E-2</c:v>
              </c:pt>
              <c:pt idx="1">
                <c:v>3.2827938896312914E-2</c:v>
              </c:pt>
            </c:numLit>
          </c:yVal>
          <c:smooth val="0"/>
          <c:extLst>
            <c:ext xmlns:c16="http://schemas.microsoft.com/office/drawing/2014/chart" uri="{C3380CC4-5D6E-409C-BE32-E72D297353CC}">
              <c16:uniqueId val="{00000026-E954-48F9-993C-11256A0BCA95}"/>
            </c:ext>
          </c:extLst>
        </c:ser>
        <c:ser>
          <c:idx val="39"/>
          <c:order val="39"/>
          <c:spPr>
            <a:ln w="3175">
              <a:solidFill>
                <a:srgbClr val="000000"/>
              </a:solidFill>
              <a:prstDash val="solid"/>
            </a:ln>
          </c:spPr>
          <c:marker>
            <c:symbol val="none"/>
          </c:marker>
          <c:xVal>
            <c:numLit>
              <c:formatCode>General</c:formatCode>
              <c:ptCount val="2"/>
              <c:pt idx="0">
                <c:v>2.3102436034379128</c:v>
              </c:pt>
              <c:pt idx="1">
                <c:v>2.5431562953347759</c:v>
              </c:pt>
            </c:numLit>
          </c:xVal>
          <c:yVal>
            <c:numLit>
              <c:formatCode>General</c:formatCode>
              <c:ptCount val="2"/>
              <c:pt idx="0">
                <c:v>3.2881338199045894E-2</c:v>
              </c:pt>
              <c:pt idx="1">
                <c:v>3.2557598053074517E-2</c:v>
              </c:pt>
            </c:numLit>
          </c:yVal>
          <c:smooth val="0"/>
          <c:extLst>
            <c:ext xmlns:c16="http://schemas.microsoft.com/office/drawing/2014/chart" uri="{C3380CC4-5D6E-409C-BE32-E72D297353CC}">
              <c16:uniqueId val="{00000027-E954-48F9-993C-11256A0BCA95}"/>
            </c:ext>
          </c:extLst>
        </c:ser>
        <c:ser>
          <c:idx val="40"/>
          <c:order val="40"/>
          <c:spPr>
            <a:ln w="3175">
              <a:solidFill>
                <a:srgbClr val="000000"/>
              </a:solidFill>
              <a:prstDash val="solid"/>
            </a:ln>
          </c:spPr>
          <c:marker>
            <c:symbol val="none"/>
          </c:marker>
          <c:xVal>
            <c:numLit>
              <c:formatCode>General</c:formatCode>
              <c:ptCount val="2"/>
              <c:pt idx="0">
                <c:v>1.8618665560711247</c:v>
              </c:pt>
              <c:pt idx="1">
                <c:v>1.9850485577300581</c:v>
              </c:pt>
            </c:numLit>
          </c:xVal>
          <c:yVal>
            <c:numLit>
              <c:formatCode>General</c:formatCode>
              <c:ptCount val="2"/>
              <c:pt idx="0">
                <c:v>3.2766962164744166E-2</c:v>
              </c:pt>
              <c:pt idx="1">
                <c:v>3.2606807732273008E-2</c:v>
              </c:pt>
            </c:numLit>
          </c:yVal>
          <c:smooth val="0"/>
          <c:extLst>
            <c:ext xmlns:c16="http://schemas.microsoft.com/office/drawing/2014/chart" uri="{C3380CC4-5D6E-409C-BE32-E72D297353CC}">
              <c16:uniqueId val="{00000028-E954-48F9-993C-11256A0BCA95}"/>
            </c:ext>
          </c:extLst>
        </c:ser>
        <c:ser>
          <c:idx val="41"/>
          <c:order val="41"/>
          <c:spPr>
            <a:ln w="3175">
              <a:solidFill>
                <a:srgbClr val="000000"/>
              </a:solidFill>
              <a:prstDash val="solid"/>
            </a:ln>
          </c:spPr>
          <c:marker>
            <c:symbol val="none"/>
          </c:marker>
          <c:xVal>
            <c:numLit>
              <c:formatCode>General</c:formatCode>
              <c:ptCount val="2"/>
              <c:pt idx="0">
                <c:v>1.427901899275156</c:v>
              </c:pt>
              <c:pt idx="1">
                <c:v>1.687284842296902</c:v>
              </c:pt>
            </c:numLit>
          </c:xVal>
          <c:yVal>
            <c:numLit>
              <c:formatCode>General</c:formatCode>
              <c:ptCount val="2"/>
              <c:pt idx="0">
                <c:v>3.2648869924892181E-2</c:v>
              </c:pt>
              <c:pt idx="1">
                <c:v>3.2332103827145416E-2</c:v>
              </c:pt>
            </c:numLit>
          </c:yVal>
          <c:smooth val="0"/>
          <c:extLst>
            <c:ext xmlns:c16="http://schemas.microsoft.com/office/drawing/2014/chart" uri="{C3380CC4-5D6E-409C-BE32-E72D297353CC}">
              <c16:uniqueId val="{00000029-E954-48F9-993C-11256A0BCA95}"/>
            </c:ext>
          </c:extLst>
        </c:ser>
        <c:ser>
          <c:idx val="42"/>
          <c:order val="42"/>
          <c:spPr>
            <a:ln w="3175">
              <a:solidFill>
                <a:srgbClr val="000000"/>
              </a:solidFill>
              <a:prstDash val="solid"/>
            </a:ln>
          </c:spPr>
          <c:marker>
            <c:symbol val="none"/>
          </c:marker>
          <c:xVal>
            <c:numLit>
              <c:formatCode>General</c:formatCode>
              <c:ptCount val="2"/>
              <c:pt idx="0">
                <c:v>1.008451678579674</c:v>
              </c:pt>
              <c:pt idx="1">
                <c:v>1.1444349034009793</c:v>
              </c:pt>
            </c:numLit>
          </c:xVal>
          <c:yVal>
            <c:numLit>
              <c:formatCode>General</c:formatCode>
              <c:ptCount val="2"/>
              <c:pt idx="0">
                <c:v>3.252758195768729E-2</c:v>
              </c:pt>
              <c:pt idx="1">
                <c:v>3.2371018228321981E-2</c:v>
              </c:pt>
            </c:numLit>
          </c:yVal>
          <c:smooth val="0"/>
          <c:extLst>
            <c:ext xmlns:c16="http://schemas.microsoft.com/office/drawing/2014/chart" uri="{C3380CC4-5D6E-409C-BE32-E72D297353CC}">
              <c16:uniqueId val="{0000002A-E954-48F9-993C-11256A0BCA95}"/>
            </c:ext>
          </c:extLst>
        </c:ser>
        <c:ser>
          <c:idx val="43"/>
          <c:order val="43"/>
          <c:spPr>
            <a:ln w="3175">
              <a:solidFill>
                <a:srgbClr val="000000"/>
              </a:solidFill>
              <a:prstDash val="solid"/>
            </a:ln>
          </c:spPr>
          <c:marker>
            <c:symbol val="none"/>
          </c:marker>
          <c:xVal>
            <c:numLit>
              <c:formatCode>General</c:formatCode>
              <c:ptCount val="2"/>
              <c:pt idx="0">
                <c:v>0.60353342994618275</c:v>
              </c:pt>
              <c:pt idx="1">
                <c:v>0.88764742704779798</c:v>
              </c:pt>
            </c:numLit>
          </c:xVal>
          <c:yVal>
            <c:numLit>
              <c:formatCode>General</c:formatCode>
              <c:ptCount val="2"/>
              <c:pt idx="0">
                <c:v>3.2403598087678766E-2</c:v>
              </c:pt>
              <c:pt idx="1">
                <c:v>3.2094190145048405E-2</c:v>
              </c:pt>
            </c:numLit>
          </c:yVal>
          <c:smooth val="0"/>
          <c:extLst>
            <c:ext xmlns:c16="http://schemas.microsoft.com/office/drawing/2014/chart" uri="{C3380CC4-5D6E-409C-BE32-E72D297353CC}">
              <c16:uniqueId val="{0000002B-E954-48F9-993C-11256A0BCA95}"/>
            </c:ext>
          </c:extLst>
        </c:ser>
        <c:ser>
          <c:idx val="44"/>
          <c:order val="44"/>
          <c:spPr>
            <a:ln w="3175">
              <a:solidFill>
                <a:srgbClr val="000000"/>
              </a:solidFill>
              <a:prstDash val="solid"/>
            </a:ln>
          </c:spPr>
          <c:marker>
            <c:symbol val="none"/>
          </c:marker>
          <c:xVal>
            <c:numLit>
              <c:formatCode>General</c:formatCode>
              <c:ptCount val="2"/>
              <c:pt idx="0">
                <c:v>0.21308833475468658</c:v>
              </c:pt>
              <c:pt idx="1">
                <c:v>0.36100200973336666</c:v>
              </c:pt>
            </c:numLit>
          </c:xVal>
          <c:yVal>
            <c:numLit>
              <c:formatCode>General</c:formatCode>
              <c:ptCount val="2"/>
              <c:pt idx="0">
                <c:v>3.2277394363330582E-2</c:v>
              </c:pt>
              <c:pt idx="1">
                <c:v>3.2124583447880627E-2</c:v>
              </c:pt>
            </c:numLit>
          </c:yVal>
          <c:smooth val="0"/>
          <c:extLst>
            <c:ext xmlns:c16="http://schemas.microsoft.com/office/drawing/2014/chart" uri="{C3380CC4-5D6E-409C-BE32-E72D297353CC}">
              <c16:uniqueId val="{0000002C-E954-48F9-993C-11256A0BCA95}"/>
            </c:ext>
          </c:extLst>
        </c:ser>
        <c:ser>
          <c:idx val="45"/>
          <c:order val="45"/>
          <c:spPr>
            <a:ln w="3175">
              <a:solidFill>
                <a:srgbClr val="000000"/>
              </a:solidFill>
              <a:prstDash val="solid"/>
            </a:ln>
          </c:spPr>
          <c:marker>
            <c:symbol val="none"/>
          </c:marker>
          <c:xVal>
            <c:numLit>
              <c:formatCode>General</c:formatCode>
              <c:ptCount val="2"/>
              <c:pt idx="0">
                <c:v>-0.16301045845285778</c:v>
              </c:pt>
              <c:pt idx="1">
                <c:v>0.14409985530072869</c:v>
              </c:pt>
            </c:numLit>
          </c:xVal>
          <c:yVal>
            <c:numLit>
              <c:formatCode>General</c:formatCode>
              <c:ptCount val="2"/>
              <c:pt idx="0">
                <c:v>3.2149420685711076E-2</c:v>
              </c:pt>
              <c:pt idx="1">
                <c:v>3.1847638065139738E-2</c:v>
              </c:pt>
            </c:numLit>
          </c:yVal>
          <c:smooth val="0"/>
          <c:extLst>
            <c:ext xmlns:c16="http://schemas.microsoft.com/office/drawing/2014/chart" uri="{C3380CC4-5D6E-409C-BE32-E72D297353CC}">
              <c16:uniqueId val="{0000002D-E954-48F9-993C-11256A0BCA95}"/>
            </c:ext>
          </c:extLst>
        </c:ser>
        <c:ser>
          <c:idx val="46"/>
          <c:order val="46"/>
          <c:spPr>
            <a:ln w="3175">
              <a:solidFill>
                <a:srgbClr val="000000"/>
              </a:solidFill>
              <a:prstDash val="solid"/>
            </a:ln>
          </c:spPr>
          <c:marker>
            <c:symbol val="none"/>
          </c:marker>
          <c:xVal>
            <c:numLit>
              <c:formatCode>General</c:formatCode>
              <c:ptCount val="2"/>
              <c:pt idx="0">
                <c:v>-0.52494954785162173</c:v>
              </c:pt>
              <c:pt idx="1">
                <c:v>-0.36596530463384702</c:v>
              </c:pt>
            </c:numLit>
          </c:xVal>
          <c:yVal>
            <c:numLit>
              <c:formatCode>General</c:formatCode>
              <c:ptCount val="2"/>
              <c:pt idx="0">
                <c:v>3.2020099133082555E-2</c:v>
              </c:pt>
              <c:pt idx="1">
                <c:v>3.1871147646086319E-2</c:v>
              </c:pt>
            </c:numLit>
          </c:yVal>
          <c:smooth val="0"/>
          <c:extLst>
            <c:ext xmlns:c16="http://schemas.microsoft.com/office/drawing/2014/chart" uri="{C3380CC4-5D6E-409C-BE32-E72D297353CC}">
              <c16:uniqueId val="{0000002E-E954-48F9-993C-11256A0BCA95}"/>
            </c:ext>
          </c:extLst>
        </c:ser>
        <c:ser>
          <c:idx val="47"/>
          <c:order val="47"/>
          <c:spPr>
            <a:ln w="3175">
              <a:solidFill>
                <a:srgbClr val="000000"/>
              </a:solidFill>
              <a:prstDash val="solid"/>
            </a:ln>
          </c:spPr>
          <c:marker>
            <c:symbol val="none"/>
          </c:marker>
          <c:xVal>
            <c:numLit>
              <c:formatCode>General</c:formatCode>
              <c:ptCount val="2"/>
              <c:pt idx="0">
                <c:v>-0.87296719572192183</c:v>
              </c:pt>
              <c:pt idx="1">
                <c:v>-0.54455817985026345</c:v>
              </c:pt>
            </c:numLit>
          </c:xVal>
          <c:yVal>
            <c:numLit>
              <c:formatCode>General</c:formatCode>
              <c:ptCount val="2"/>
              <c:pt idx="0">
                <c:v>3.1889822914942911E-2</c:v>
              </c:pt>
              <c:pt idx="1">
                <c:v>3.1595828227494627E-2</c:v>
              </c:pt>
            </c:numLit>
          </c:yVal>
          <c:smooth val="0"/>
          <c:extLst>
            <c:ext xmlns:c16="http://schemas.microsoft.com/office/drawing/2014/chart" uri="{C3380CC4-5D6E-409C-BE32-E72D297353CC}">
              <c16:uniqueId val="{0000002F-E954-48F9-993C-11256A0BCA95}"/>
            </c:ext>
          </c:extLst>
        </c:ser>
        <c:ser>
          <c:idx val="48"/>
          <c:order val="48"/>
          <c:spPr>
            <a:ln w="3175">
              <a:solidFill>
                <a:srgbClr val="000000"/>
              </a:solidFill>
              <a:prstDash val="solid"/>
            </a:ln>
          </c:spPr>
          <c:marker>
            <c:symbol val="none"/>
          </c:marker>
          <c:xVal>
            <c:numLit>
              <c:formatCode>General</c:formatCode>
              <c:ptCount val="2"/>
              <c:pt idx="0">
                <c:v>-1.2073455830568078</c:v>
              </c:pt>
              <c:pt idx="1">
                <c:v>-1.0381253993109554</c:v>
              </c:pt>
            </c:numLit>
          </c:xVal>
          <c:yVal>
            <c:numLit>
              <c:formatCode>General</c:formatCode>
              <c:ptCount val="2"/>
              <c:pt idx="0">
                <c:v>3.1758955882424979E-2</c:v>
              </c:pt>
              <c:pt idx="1">
                <c:v>3.1613921544188607E-2</c:v>
              </c:pt>
            </c:numLit>
          </c:yVal>
          <c:smooth val="0"/>
          <c:extLst>
            <c:ext xmlns:c16="http://schemas.microsoft.com/office/drawing/2014/chart" uri="{C3380CC4-5D6E-409C-BE32-E72D297353CC}">
              <c16:uniqueId val="{00000030-E954-48F9-993C-11256A0BCA95}"/>
            </c:ext>
          </c:extLst>
        </c:ser>
        <c:ser>
          <c:idx val="49"/>
          <c:order val="49"/>
          <c:spPr>
            <a:ln w="3175">
              <a:solidFill>
                <a:srgbClr val="000000"/>
              </a:solidFill>
              <a:prstDash val="solid"/>
            </a:ln>
          </c:spPr>
          <c:marker>
            <c:symbol val="none"/>
          </c:marker>
          <c:xVal>
            <c:numLit>
              <c:formatCode>General</c:formatCode>
              <c:ptCount val="2"/>
              <c:pt idx="0">
                <c:v>-1.5284035027225737</c:v>
              </c:pt>
              <c:pt idx="1">
                <c:v>-1.1803313976408958</c:v>
              </c:pt>
            </c:numLit>
          </c:xVal>
          <c:yVal>
            <c:numLit>
              <c:formatCode>General</c:formatCode>
              <c:ptCount val="2"/>
              <c:pt idx="0">
                <c:v>3.16278325192349E-2</c:v>
              </c:pt>
              <c:pt idx="1">
                <c:v>3.134169754365785E-2</c:v>
              </c:pt>
            </c:numLit>
          </c:yVal>
          <c:smooth val="0"/>
          <c:extLst>
            <c:ext xmlns:c16="http://schemas.microsoft.com/office/drawing/2014/chart" uri="{C3380CC4-5D6E-409C-BE32-E72D297353CC}">
              <c16:uniqueId val="{00000031-E954-48F9-993C-11256A0BCA95}"/>
            </c:ext>
          </c:extLst>
        </c:ser>
        <c:ser>
          <c:idx val="50"/>
          <c:order val="50"/>
          <c:spPr>
            <a:ln w="3175">
              <a:solidFill>
                <a:srgbClr val="000000"/>
              </a:solidFill>
              <a:prstDash val="solid"/>
            </a:ln>
          </c:spPr>
          <c:marker>
            <c:symbol val="none"/>
          </c:marker>
          <c:xVal>
            <c:numLit>
              <c:formatCode>General</c:formatCode>
              <c:ptCount val="2"/>
              <c:pt idx="0">
                <c:v>-1.8364895629659759</c:v>
              </c:pt>
              <c:pt idx="1">
                <c:v>-1.6578322195214859</c:v>
              </c:pt>
            </c:numLit>
          </c:xVal>
          <c:yVal>
            <c:numLit>
              <c:formatCode>General</c:formatCode>
              <c:ptCount val="2"/>
              <c:pt idx="0">
                <c:v>3.1496758337790295E-2</c:v>
              </c:pt>
              <c:pt idx="1">
                <c:v>3.1355656962723445E-2</c:v>
              </c:pt>
            </c:numLit>
          </c:yVal>
          <c:smooth val="0"/>
          <c:extLst>
            <c:ext xmlns:c16="http://schemas.microsoft.com/office/drawing/2014/chart" uri="{C3380CC4-5D6E-409C-BE32-E72D297353CC}">
              <c16:uniqueId val="{00000032-E954-48F9-993C-11256A0BCA95}"/>
            </c:ext>
          </c:extLst>
        </c:ser>
        <c:ser>
          <c:idx val="51"/>
          <c:order val="51"/>
          <c:spPr>
            <a:ln w="3175">
              <a:solidFill>
                <a:srgbClr val="000000"/>
              </a:solidFill>
              <a:prstDash val="solid"/>
            </a:ln>
          </c:spPr>
          <c:marker>
            <c:symbol val="none"/>
          </c:marker>
          <c:xVal>
            <c:numLit>
              <c:formatCode>General</c:formatCode>
              <c:ptCount val="2"/>
              <c:pt idx="0">
                <c:v>-2.1319759470058717</c:v>
              </c:pt>
              <c:pt idx="1">
                <c:v>-1.7657966685956947</c:v>
              </c:pt>
            </c:numLit>
          </c:xVal>
          <c:yVal>
            <c:numLit>
              <c:formatCode>General</c:formatCode>
              <c:ptCount val="2"/>
              <c:pt idx="0">
                <c:v>3.1366010608182678E-2</c:v>
              </c:pt>
              <c:pt idx="1">
                <c:v>3.1087730289937197E-2</c:v>
              </c:pt>
            </c:numLit>
          </c:yVal>
          <c:smooth val="0"/>
          <c:extLst>
            <c:ext xmlns:c16="http://schemas.microsoft.com/office/drawing/2014/chart" uri="{C3380CC4-5D6E-409C-BE32-E72D297353CC}">
              <c16:uniqueId val="{00000033-E954-48F9-993C-11256A0BCA95}"/>
            </c:ext>
          </c:extLst>
        </c:ser>
        <c:ser>
          <c:idx val="52"/>
          <c:order val="52"/>
          <c:spPr>
            <a:ln w="3175">
              <a:solidFill>
                <a:srgbClr val="000000"/>
              </a:solidFill>
              <a:prstDash val="solid"/>
            </a:ln>
          </c:spPr>
          <c:marker>
            <c:symbol val="none"/>
          </c:marker>
          <c:xVal>
            <c:numLit>
              <c:formatCode>General</c:formatCode>
              <c:ptCount val="2"/>
              <c:pt idx="0">
                <c:v>-2.4152527521845344</c:v>
              </c:pt>
              <c:pt idx="1">
                <c:v>-2.2279139609017657</c:v>
              </c:pt>
            </c:numLit>
          </c:xVal>
          <c:yVal>
            <c:numLit>
              <c:formatCode>General</c:formatCode>
              <c:ptCount val="2"/>
              <c:pt idx="0">
                <c:v>3.1235839352359684E-2</c:v>
              </c:pt>
              <c:pt idx="1">
                <c:v>3.1098651762074287E-2</c:v>
              </c:pt>
            </c:numLit>
          </c:yVal>
          <c:smooth val="0"/>
          <c:extLst>
            <c:ext xmlns:c16="http://schemas.microsoft.com/office/drawing/2014/chart" uri="{C3380CC4-5D6E-409C-BE32-E72D297353CC}">
              <c16:uniqueId val="{00000034-E954-48F9-993C-11256A0BCA95}"/>
            </c:ext>
          </c:extLst>
        </c:ser>
        <c:ser>
          <c:idx val="53"/>
          <c:order val="53"/>
          <c:spPr>
            <a:ln w="3175">
              <a:solidFill>
                <a:srgbClr val="000000"/>
              </a:solidFill>
              <a:prstDash val="solid"/>
            </a:ln>
          </c:spPr>
          <c:marker>
            <c:symbol val="none"/>
          </c:marker>
          <c:xVal>
            <c:numLit>
              <c:formatCode>General</c:formatCode>
              <c:ptCount val="2"/>
              <c:pt idx="0">
                <c:v>-2.6867229137309887</c:v>
              </c:pt>
              <c:pt idx="1">
                <c:v>-2.3039012263190584</c:v>
              </c:pt>
            </c:numLit>
          </c:xVal>
          <c:yVal>
            <c:numLit>
              <c:formatCode>General</c:formatCode>
              <c:ptCount val="2"/>
              <c:pt idx="0">
                <c:v>3.1106468541898472E-2</c:v>
              </c:pt>
              <c:pt idx="1">
                <c:v>3.0835974485641515E-2</c:v>
              </c:pt>
            </c:numLit>
          </c:yVal>
          <c:smooth val="0"/>
          <c:extLst>
            <c:ext xmlns:c16="http://schemas.microsoft.com/office/drawing/2014/chart" uri="{C3380CC4-5D6E-409C-BE32-E72D297353CC}">
              <c16:uniqueId val="{00000035-E954-48F9-993C-11256A0BCA95}"/>
            </c:ext>
          </c:extLst>
        </c:ser>
        <c:ser>
          <c:idx val="54"/>
          <c:order val="54"/>
          <c:spPr>
            <a:ln w="3175">
              <a:solidFill>
                <a:srgbClr val="000000"/>
              </a:solidFill>
              <a:prstDash val="solid"/>
            </a:ln>
          </c:spPr>
          <c:marker>
            <c:symbol val="none"/>
          </c:marker>
          <c:xVal>
            <c:numLit>
              <c:formatCode>General</c:formatCode>
              <c:ptCount val="2"/>
              <c:pt idx="0">
                <c:v>-2.9467977034514901</c:v>
              </c:pt>
              <c:pt idx="1">
                <c:v>-2.7514857378997171</c:v>
              </c:pt>
            </c:numLit>
          </c:xVal>
          <c:yVal>
            <c:numLit>
              <c:formatCode>General</c:formatCode>
              <c:ptCount val="2"/>
              <c:pt idx="0">
                <c:v>3.0978097444408995E-2</c:v>
              </c:pt>
              <c:pt idx="1">
                <c:v>3.0844775982742861E-2</c:v>
              </c:pt>
            </c:numLit>
          </c:yVal>
          <c:smooth val="0"/>
          <c:extLst>
            <c:ext xmlns:c16="http://schemas.microsoft.com/office/drawing/2014/chart" uri="{C3380CC4-5D6E-409C-BE32-E72D297353CC}">
              <c16:uniqueId val="{00000036-E954-48F9-993C-11256A0BCA95}"/>
            </c:ext>
          </c:extLst>
        </c:ser>
        <c:ser>
          <c:idx val="55"/>
          <c:order val="55"/>
          <c:spPr>
            <a:ln w="3175">
              <a:solidFill>
                <a:srgbClr val="000000"/>
              </a:solidFill>
              <a:prstDash val="solid"/>
            </a:ln>
          </c:spPr>
          <c:marker>
            <c:symbol val="none"/>
          </c:marker>
          <c:xVal>
            <c:numLit>
              <c:formatCode>General</c:formatCode>
              <c:ptCount val="2"/>
              <c:pt idx="0">
                <c:v>-3.1958927823230363</c:v>
              </c:pt>
              <c:pt idx="1">
                <c:v>-2.7977959988533443</c:v>
              </c:pt>
            </c:numLit>
          </c:xVal>
          <c:yVal>
            <c:numLit>
              <c:formatCode>General</c:formatCode>
              <c:ptCount val="2"/>
              <c:pt idx="0">
                <c:v>3.0850902070547182E-2</c:v>
              </c:pt>
              <c:pt idx="1">
                <c:v>3.0588075008430766E-2</c:v>
              </c:pt>
            </c:numLit>
          </c:yVal>
          <c:smooth val="0"/>
          <c:extLst>
            <c:ext xmlns:c16="http://schemas.microsoft.com/office/drawing/2014/chart" uri="{C3380CC4-5D6E-409C-BE32-E72D297353CC}">
              <c16:uniqueId val="{00000037-E954-48F9-993C-11256A0BCA95}"/>
            </c:ext>
          </c:extLst>
        </c:ser>
        <c:ser>
          <c:idx val="56"/>
          <c:order val="56"/>
          <c:spPr>
            <a:ln w="3175">
              <a:solidFill>
                <a:srgbClr val="000000"/>
              </a:solidFill>
              <a:prstDash val="solid"/>
            </a:ln>
          </c:spPr>
          <c:marker>
            <c:symbol val="none"/>
          </c:marker>
          <c:xVal>
            <c:numLit>
              <c:formatCode>General</c:formatCode>
              <c:ptCount val="2"/>
              <c:pt idx="0">
                <c:v>-3.434424777651842</c:v>
              </c:pt>
              <c:pt idx="1">
                <c:v>-3.2317984059870639</c:v>
              </c:pt>
            </c:numLit>
          </c:xVal>
          <c:yVal>
            <c:numLit>
              <c:formatCode>General</c:formatCode>
              <c:ptCount val="2"/>
              <c:pt idx="0">
                <c:v>3.0725036680508942E-2</c:v>
              </c:pt>
              <c:pt idx="1">
                <c:v>3.0595511130301307E-2</c:v>
              </c:pt>
            </c:numLit>
          </c:yVal>
          <c:smooth val="0"/>
          <c:extLst>
            <c:ext xmlns:c16="http://schemas.microsoft.com/office/drawing/2014/chart" uri="{C3380CC4-5D6E-409C-BE32-E72D297353CC}">
              <c16:uniqueId val="{00000038-E954-48F9-993C-11256A0BCA95}"/>
            </c:ext>
          </c:extLst>
        </c:ser>
        <c:ser>
          <c:idx val="57"/>
          <c:order val="57"/>
          <c:spPr>
            <a:ln w="3175">
              <a:solidFill>
                <a:srgbClr val="000000"/>
              </a:solidFill>
              <a:prstDash val="solid"/>
            </a:ln>
          </c:spPr>
          <c:marker>
            <c:symbol val="none"/>
          </c:marker>
          <c:xVal>
            <c:numLit>
              <c:formatCode>General</c:formatCode>
              <c:ptCount val="2"/>
              <c:pt idx="0">
                <c:v>-3.6628083497591089</c:v>
              </c:pt>
              <c:pt idx="1">
                <c:v>-3.2507040992663345</c:v>
              </c:pt>
            </c:numLit>
          </c:xVal>
          <c:yVal>
            <c:numLit>
              <c:formatCode>General</c:formatCode>
              <c:ptCount val="2"/>
              <c:pt idx="0">
                <c:v>3.0600635315476219E-2</c:v>
              </c:pt>
              <c:pt idx="1">
                <c:v>3.0345316256011935E-2</c:v>
              </c:pt>
            </c:numLit>
          </c:yVal>
          <c:smooth val="0"/>
          <c:extLst>
            <c:ext xmlns:c16="http://schemas.microsoft.com/office/drawing/2014/chart" uri="{C3380CC4-5D6E-409C-BE32-E72D297353CC}">
              <c16:uniqueId val="{00000039-E954-48F9-993C-11256A0BCA95}"/>
            </c:ext>
          </c:extLst>
        </c:ser>
        <c:ser>
          <c:idx val="58"/>
          <c:order val="58"/>
          <c:spPr>
            <a:ln w="3175">
              <a:solidFill>
                <a:srgbClr val="000000"/>
              </a:solidFill>
              <a:prstDash val="solid"/>
            </a:ln>
          </c:spPr>
          <c:marker>
            <c:symbol val="none"/>
          </c:marker>
          <c:xVal>
            <c:numLit>
              <c:formatCode>General</c:formatCode>
              <c:ptCount val="2"/>
              <c:pt idx="0">
                <c:v>-4.0907645474166401</c:v>
              </c:pt>
              <c:pt idx="1">
                <c:v>-3.8782930792053896</c:v>
              </c:pt>
            </c:numLit>
          </c:xVal>
          <c:yVal>
            <c:numLit>
              <c:formatCode>General</c:formatCode>
              <c:ptCount val="2"/>
              <c:pt idx="0">
                <c:v>3.0356668871943389E-2</c:v>
              </c:pt>
              <c:pt idx="1">
                <c:v>3.0232668838864239E-2</c:v>
              </c:pt>
            </c:numLit>
          </c:yVal>
          <c:smooth val="0"/>
          <c:extLst>
            <c:ext xmlns:c16="http://schemas.microsoft.com/office/drawing/2014/chart" uri="{C3380CC4-5D6E-409C-BE32-E72D297353CC}">
              <c16:uniqueId val="{0000003A-E954-48F9-993C-11256A0BCA95}"/>
            </c:ext>
          </c:extLst>
        </c:ser>
        <c:ser>
          <c:idx val="59"/>
          <c:order val="59"/>
          <c:spPr>
            <a:ln w="3175">
              <a:solidFill>
                <a:srgbClr val="000000"/>
              </a:solidFill>
              <a:prstDash val="solid"/>
            </a:ln>
          </c:spPr>
          <c:marker>
            <c:symbol val="none"/>
          </c:marker>
          <c:xVal>
            <c:numLit>
              <c:formatCode>General</c:formatCode>
              <c:ptCount val="2"/>
              <c:pt idx="0">
                <c:v>-4.4829549342068002</c:v>
              </c:pt>
              <c:pt idx="1">
                <c:v>-4.264600610193698</c:v>
              </c:pt>
            </c:numLit>
          </c:xVal>
          <c:yVal>
            <c:numLit>
              <c:formatCode>General</c:formatCode>
              <c:ptCount val="2"/>
              <c:pt idx="0">
                <c:v>3.0119727959716215E-2</c:v>
              </c:pt>
              <c:pt idx="1">
                <c:v>2.9999282040320471E-2</c:v>
              </c:pt>
            </c:numLit>
          </c:yVal>
          <c:smooth val="0"/>
          <c:extLst>
            <c:ext xmlns:c16="http://schemas.microsoft.com/office/drawing/2014/chart" uri="{C3380CC4-5D6E-409C-BE32-E72D297353CC}">
              <c16:uniqueId val="{0000003B-E954-48F9-993C-11256A0BCA95}"/>
            </c:ext>
          </c:extLst>
        </c:ser>
        <c:ser>
          <c:idx val="60"/>
          <c:order val="60"/>
          <c:spPr>
            <a:ln w="3175">
              <a:solidFill>
                <a:srgbClr val="000000"/>
              </a:solidFill>
              <a:prstDash val="solid"/>
            </a:ln>
          </c:spPr>
          <c:marker>
            <c:symbol val="none"/>
          </c:marker>
          <c:xVal>
            <c:numLit>
              <c:formatCode>General</c:formatCode>
              <c:ptCount val="2"/>
              <c:pt idx="0">
                <c:v>-4.84242191575568</c:v>
              </c:pt>
              <c:pt idx="1">
                <c:v>-4.6186755870193439</c:v>
              </c:pt>
            </c:numLit>
          </c:xVal>
          <c:yVal>
            <c:numLit>
              <c:formatCode>General</c:formatCode>
              <c:ptCount val="2"/>
              <c:pt idx="0">
                <c:v>2.9890307963181588E-2</c:v>
              </c:pt>
              <c:pt idx="1">
                <c:v>2.9773303343733865E-2</c:v>
              </c:pt>
            </c:numLit>
          </c:yVal>
          <c:smooth val="0"/>
          <c:extLst>
            <c:ext xmlns:c16="http://schemas.microsoft.com/office/drawing/2014/chart" uri="{C3380CC4-5D6E-409C-BE32-E72D297353CC}">
              <c16:uniqueId val="{0000003C-E954-48F9-993C-11256A0BCA95}"/>
            </c:ext>
          </c:extLst>
        </c:ser>
        <c:ser>
          <c:idx val="61"/>
          <c:order val="61"/>
          <c:spPr>
            <a:ln w="3175">
              <a:solidFill>
                <a:srgbClr val="000000"/>
              </a:solidFill>
              <a:prstDash val="solid"/>
            </a:ln>
          </c:spPr>
          <c:marker>
            <c:symbol val="none"/>
          </c:marker>
          <c:xVal>
            <c:numLit>
              <c:formatCode>General</c:formatCode>
              <c:ptCount val="2"/>
              <c:pt idx="0">
                <c:v>-5.172025769604903</c:v>
              </c:pt>
              <c:pt idx="1">
                <c:v>-4.9433353830608286</c:v>
              </c:pt>
            </c:numLit>
          </c:xVal>
          <c:yVal>
            <c:numLit>
              <c:formatCode>General</c:formatCode>
              <c:ptCount val="2"/>
              <c:pt idx="0">
                <c:v>2.9668715818191152E-2</c:v>
              </c:pt>
              <c:pt idx="1">
                <c:v>2.9555035080918286E-2</c:v>
              </c:pt>
            </c:numLit>
          </c:yVal>
          <c:smooth val="0"/>
          <c:extLst>
            <c:ext xmlns:c16="http://schemas.microsoft.com/office/drawing/2014/chart" uri="{C3380CC4-5D6E-409C-BE32-E72D297353CC}">
              <c16:uniqueId val="{0000003D-E954-48F9-993C-11256A0BCA95}"/>
            </c:ext>
          </c:extLst>
        </c:ser>
        <c:ser>
          <c:idx val="62"/>
          <c:order val="62"/>
          <c:spPr>
            <a:ln w="3175">
              <a:solidFill>
                <a:srgbClr val="000000"/>
              </a:solidFill>
              <a:prstDash val="solid"/>
            </a:ln>
          </c:spPr>
          <c:marker>
            <c:symbol val="none"/>
          </c:marker>
          <c:xVal>
            <c:numLit>
              <c:formatCode>General</c:formatCode>
              <c:ptCount val="2"/>
              <c:pt idx="0">
                <c:v>-5.4744280576792939</c:v>
              </c:pt>
              <c:pt idx="1">
                <c:v>-5.0079752159489139</c:v>
              </c:pt>
            </c:numLit>
          </c:xVal>
          <c:yVal>
            <c:numLit>
              <c:formatCode>General</c:formatCode>
              <c:ptCount val="2"/>
              <c:pt idx="0">
                <c:v>2.9455106521464464E-2</c:v>
              </c:pt>
              <c:pt idx="1">
                <c:v>2.9234153325820529E-2</c:v>
              </c:pt>
            </c:numLit>
          </c:yVal>
          <c:smooth val="0"/>
          <c:extLst>
            <c:ext xmlns:c16="http://schemas.microsoft.com/office/drawing/2014/chart" uri="{C3380CC4-5D6E-409C-BE32-E72D297353CC}">
              <c16:uniqueId val="{0000003E-E954-48F9-993C-11256A0BCA95}"/>
            </c:ext>
          </c:extLst>
        </c:ser>
        <c:ser>
          <c:idx val="63"/>
          <c:order val="63"/>
          <c:spPr>
            <a:ln w="3175">
              <a:solidFill>
                <a:srgbClr val="000000"/>
              </a:solidFill>
              <a:prstDash val="solid"/>
            </a:ln>
          </c:spPr>
          <c:marker>
            <c:symbol val="none"/>
          </c:marker>
          <c:xVal>
            <c:numLit>
              <c:formatCode>General</c:formatCode>
              <c:ptCount val="2"/>
              <c:pt idx="0">
                <c:v>-5.7520856720993354</c:v>
              </c:pt>
              <c:pt idx="1">
                <c:v>-5.514694387017844</c:v>
              </c:pt>
            </c:numLit>
          </c:xVal>
          <c:yVal>
            <c:numLit>
              <c:formatCode>General</c:formatCode>
              <c:ptCount val="2"/>
              <c:pt idx="0">
                <c:v>2.9249514599656405E-2</c:v>
              </c:pt>
              <c:pt idx="1">
                <c:v>2.9142121880661561E-2</c:v>
              </c:pt>
            </c:numLit>
          </c:yVal>
          <c:smooth val="0"/>
          <c:extLst>
            <c:ext xmlns:c16="http://schemas.microsoft.com/office/drawing/2014/chart" uri="{C3380CC4-5D6E-409C-BE32-E72D297353CC}">
              <c16:uniqueId val="{0000003F-E954-48F9-993C-11256A0BCA95}"/>
            </c:ext>
          </c:extLst>
        </c:ser>
        <c:ser>
          <c:idx val="64"/>
          <c:order val="64"/>
          <c:spPr>
            <a:ln w="3175">
              <a:solidFill>
                <a:srgbClr val="000000"/>
              </a:solidFill>
              <a:prstDash val="solid"/>
            </a:ln>
          </c:spPr>
          <c:marker>
            <c:symbol val="none"/>
          </c:marker>
          <c:xVal>
            <c:numLit>
              <c:formatCode>General</c:formatCode>
              <c:ptCount val="2"/>
              <c:pt idx="0">
                <c:v>-6.007252455425677</c:v>
              </c:pt>
              <c:pt idx="1">
                <c:v>-5.7660336685942912</c:v>
              </c:pt>
            </c:numLit>
          </c:xVal>
          <c:yVal>
            <c:numLit>
              <c:formatCode>General</c:formatCode>
              <c:ptCount val="2"/>
              <c:pt idx="0">
                <c:v>2.9051880732157462E-2</c:v>
              </c:pt>
              <c:pt idx="1">
                <c:v>2.8947452521175102E-2</c:v>
              </c:pt>
            </c:numLit>
          </c:yVal>
          <c:smooth val="0"/>
          <c:extLst>
            <c:ext xmlns:c16="http://schemas.microsoft.com/office/drawing/2014/chart" uri="{C3380CC4-5D6E-409C-BE32-E72D297353CC}">
              <c16:uniqueId val="{00000040-E954-48F9-993C-11256A0BCA95}"/>
            </c:ext>
          </c:extLst>
        </c:ser>
        <c:ser>
          <c:idx val="65"/>
          <c:order val="65"/>
          <c:spPr>
            <a:ln w="3175">
              <a:solidFill>
                <a:srgbClr val="000000"/>
              </a:solidFill>
              <a:prstDash val="solid"/>
            </a:ln>
          </c:spPr>
          <c:marker>
            <c:symbol val="none"/>
          </c:marker>
          <c:xVal>
            <c:numLit>
              <c:formatCode>General</c:formatCode>
              <c:ptCount val="2"/>
              <c:pt idx="0">
                <c:v>-6.2419859850611479</c:v>
              </c:pt>
              <c:pt idx="1">
                <c:v>-5.9972461952852303</c:v>
              </c:pt>
            </c:numLit>
          </c:xVal>
          <c:yVal>
            <c:numLit>
              <c:formatCode>General</c:formatCode>
              <c:ptCount val="2"/>
              <c:pt idx="0">
                <c:v>2.8862073926862193E-2</c:v>
              </c:pt>
              <c:pt idx="1">
                <c:v>2.8760492817959261E-2</c:v>
              </c:pt>
            </c:numLit>
          </c:yVal>
          <c:smooth val="0"/>
          <c:extLst>
            <c:ext xmlns:c16="http://schemas.microsoft.com/office/drawing/2014/chart" uri="{C3380CC4-5D6E-409C-BE32-E72D297353CC}">
              <c16:uniqueId val="{00000041-E954-48F9-993C-11256A0BCA95}"/>
            </c:ext>
          </c:extLst>
        </c:ser>
        <c:ser>
          <c:idx val="66"/>
          <c:order val="66"/>
          <c:spPr>
            <a:ln w="3175">
              <a:solidFill>
                <a:srgbClr val="000000"/>
              </a:solidFill>
              <a:prstDash val="solid"/>
            </a:ln>
          </c:spPr>
          <c:marker>
            <c:symbol val="none"/>
          </c:marker>
          <c:xVal>
            <c:numLit>
              <c:formatCode>General</c:formatCode>
              <c:ptCount val="2"/>
              <c:pt idx="0">
                <c:v>-6.4581576767384705</c:v>
              </c:pt>
              <c:pt idx="1">
                <c:v>-6.2101753115873928</c:v>
              </c:pt>
            </c:numLit>
          </c:xVal>
          <c:yVal>
            <c:numLit>
              <c:formatCode>General</c:formatCode>
              <c:ptCount val="2"/>
              <c:pt idx="0">
                <c:v>2.8679909746885161E-2</c:v>
              </c:pt>
              <c:pt idx="1">
                <c:v>2.8581061100681884E-2</c:v>
              </c:pt>
            </c:numLit>
          </c:yVal>
          <c:smooth val="0"/>
          <c:extLst>
            <c:ext xmlns:c16="http://schemas.microsoft.com/office/drawing/2014/chart" uri="{C3380CC4-5D6E-409C-BE32-E72D297353CC}">
              <c16:uniqueId val="{00000042-E954-48F9-993C-11256A0BCA95}"/>
            </c:ext>
          </c:extLst>
        </c:ser>
        <c:ser>
          <c:idx val="67"/>
          <c:order val="67"/>
          <c:spPr>
            <a:ln w="3175">
              <a:solidFill>
                <a:srgbClr val="000000"/>
              </a:solidFill>
              <a:prstDash val="solid"/>
            </a:ln>
          </c:spPr>
          <c:marker>
            <c:symbol val="none"/>
          </c:marker>
          <c:xVal>
            <c:numLit>
              <c:formatCode>General</c:formatCode>
              <c:ptCount val="2"/>
              <c:pt idx="0">
                <c:v>-6.6574648318657363</c:v>
              </c:pt>
              <c:pt idx="1">
                <c:v>-6.1555208869097635</c:v>
              </c:pt>
            </c:numLit>
          </c:xVal>
          <c:yVal>
            <c:numLit>
              <c:formatCode>General</c:formatCode>
              <c:ptCount val="2"/>
              <c:pt idx="0">
                <c:v>2.850516511451388E-2</c:v>
              </c:pt>
              <c:pt idx="1">
                <c:v>2.8312710161078464E-2</c:v>
              </c:pt>
            </c:numLit>
          </c:yVal>
          <c:smooth val="0"/>
          <c:extLst>
            <c:ext xmlns:c16="http://schemas.microsoft.com/office/drawing/2014/chart" uri="{C3380CC4-5D6E-409C-BE32-E72D297353CC}">
              <c16:uniqueId val="{00000043-E954-48F9-993C-11256A0BCA95}"/>
            </c:ext>
          </c:extLst>
        </c:ser>
        <c:ser>
          <c:idx val="68"/>
          <c:order val="68"/>
          <c:spPr>
            <a:ln w="3175">
              <a:solidFill>
                <a:srgbClr val="000000"/>
              </a:solidFill>
              <a:prstDash val="solid"/>
            </a:ln>
          </c:spPr>
          <c:marker>
            <c:symbol val="none"/>
          </c:marker>
          <c:xVal>
            <c:numLit>
              <c:formatCode>General</c:formatCode>
              <c:ptCount val="2"/>
              <c:pt idx="0">
                <c:v>-6.8414436306071789</c:v>
              </c:pt>
              <c:pt idx="1">
                <c:v>-6.5877119761480705</c:v>
              </c:pt>
            </c:numLit>
          </c:xVal>
          <c:yVal>
            <c:numLit>
              <c:formatCode>General</c:formatCode>
              <c:ptCount val="2"/>
              <c:pt idx="0">
                <c:v>2.8337590203391938E-2</c:v>
              </c:pt>
              <c:pt idx="1">
                <c:v>2.8243876350341059E-2</c:v>
              </c:pt>
            </c:numLit>
          </c:yVal>
          <c:smooth val="0"/>
          <c:extLst>
            <c:ext xmlns:c16="http://schemas.microsoft.com/office/drawing/2014/chart" uri="{C3380CC4-5D6E-409C-BE32-E72D297353CC}">
              <c16:uniqueId val="{00000044-E954-48F9-993C-11256A0BCA95}"/>
            </c:ext>
          </c:extLst>
        </c:ser>
        <c:ser>
          <c:idx val="69"/>
          <c:order val="69"/>
          <c:spPr>
            <a:ln w="3175">
              <a:solidFill>
                <a:srgbClr val="000000"/>
              </a:solidFill>
              <a:prstDash val="solid"/>
            </a:ln>
          </c:spPr>
          <c:marker>
            <c:symbol val="none"/>
          </c:marker>
          <c:xVal>
            <c:numLit>
              <c:formatCode>General</c:formatCode>
              <c:ptCount val="2"/>
              <c:pt idx="0">
                <c:v>-7.0114823669202533</c:v>
              </c:pt>
              <c:pt idx="1">
                <c:v>-6.7552001314164487</c:v>
              </c:pt>
            </c:numLit>
          </c:xVal>
          <c:yVal>
            <c:numLit>
              <c:formatCode>General</c:formatCode>
              <c:ptCount val="2"/>
              <c:pt idx="0">
                <c:v>2.8176917890019609E-2</c:v>
              </c:pt>
              <c:pt idx="1">
                <c:v>2.8085614121669315E-2</c:v>
              </c:pt>
            </c:numLit>
          </c:yVal>
          <c:smooth val="0"/>
          <c:extLst>
            <c:ext xmlns:c16="http://schemas.microsoft.com/office/drawing/2014/chart" uri="{C3380CC4-5D6E-409C-BE32-E72D297353CC}">
              <c16:uniqueId val="{00000045-E954-48F9-993C-11256A0BCA95}"/>
            </c:ext>
          </c:extLst>
        </c:ser>
        <c:ser>
          <c:idx val="70"/>
          <c:order val="70"/>
          <c:spPr>
            <a:ln w="3175">
              <a:solidFill>
                <a:srgbClr val="000000"/>
              </a:solidFill>
              <a:prstDash val="solid"/>
            </a:ln>
          </c:spPr>
          <c:marker>
            <c:symbol val="none"/>
          </c:marker>
          <c:xVal>
            <c:numLit>
              <c:formatCode>General</c:formatCode>
              <c:ptCount val="2"/>
              <c:pt idx="0">
                <c:v>-7.1688344461684759</c:v>
              </c:pt>
              <c:pt idx="1">
                <c:v>-6.910191929475948</c:v>
              </c:pt>
            </c:numLit>
          </c:xVal>
          <c:yVal>
            <c:numLit>
              <c:formatCode>General</c:formatCode>
              <c:ptCount val="2"/>
              <c:pt idx="0">
                <c:v>2.8022871183970465E-2</c:v>
              </c:pt>
              <c:pt idx="1">
                <c:v>2.7933878116210908E-2</c:v>
              </c:pt>
            </c:numLit>
          </c:yVal>
          <c:smooth val="0"/>
          <c:extLst>
            <c:ext xmlns:c16="http://schemas.microsoft.com/office/drawing/2014/chart" uri="{C3380CC4-5D6E-409C-BE32-E72D297353CC}">
              <c16:uniqueId val="{00000046-E954-48F9-993C-11256A0BCA95}"/>
            </c:ext>
          </c:extLst>
        </c:ser>
        <c:ser>
          <c:idx val="71"/>
          <c:order val="71"/>
          <c:spPr>
            <a:ln w="3175">
              <a:solidFill>
                <a:srgbClr val="000000"/>
              </a:solidFill>
              <a:prstDash val="solid"/>
            </a:ln>
          </c:spPr>
          <c:marker>
            <c:symbol val="none"/>
          </c:marker>
          <c:xVal>
            <c:numLit>
              <c:formatCode>General</c:formatCode>
              <c:ptCount val="2"/>
              <c:pt idx="0">
                <c:v>-7.3146308334249364</c:v>
              </c:pt>
              <c:pt idx="1">
                <c:v>-7.0538013709235621</c:v>
              </c:pt>
            </c:numLit>
          </c:xVal>
          <c:yVal>
            <c:numLit>
              <c:formatCode>General</c:formatCode>
              <c:ptCount val="2"/>
              <c:pt idx="0">
                <c:v>2.787516900098734E-2</c:v>
              </c:pt>
              <c:pt idx="1">
                <c:v>2.778839146597253E-2</c:v>
              </c:pt>
            </c:numLit>
          </c:yVal>
          <c:smooth val="0"/>
          <c:extLst>
            <c:ext xmlns:c16="http://schemas.microsoft.com/office/drawing/2014/chart" uri="{C3380CC4-5D6E-409C-BE32-E72D297353CC}">
              <c16:uniqueId val="{00000047-E954-48F9-993C-11256A0BCA95}"/>
            </c:ext>
          </c:extLst>
        </c:ser>
        <c:ser>
          <c:idx val="72"/>
          <c:order val="72"/>
          <c:spPr>
            <a:ln w="3175">
              <a:solidFill>
                <a:srgbClr val="000000"/>
              </a:solidFill>
              <a:prstDash val="solid"/>
            </a:ln>
          </c:spPr>
          <c:marker>
            <c:symbol val="none"/>
          </c:marker>
          <c:xVal>
            <c:numLit>
              <c:formatCode>General</c:formatCode>
              <c:ptCount val="2"/>
              <c:pt idx="0">
                <c:v>-7.4498917630910348</c:v>
              </c:pt>
              <c:pt idx="1">
                <c:v>-6.9241750101983026</c:v>
              </c:pt>
            </c:numLit>
          </c:xVal>
          <c:yVal>
            <c:numLit>
              <c:formatCode>General</c:formatCode>
              <c:ptCount val="2"/>
              <c:pt idx="0">
                <c:v>2.7733530589312109E-2</c:v>
              </c:pt>
              <c:pt idx="1">
                <c:v>2.7564224671632744E-2</c:v>
              </c:pt>
            </c:numLit>
          </c:yVal>
          <c:smooth val="0"/>
          <c:extLst>
            <c:ext xmlns:c16="http://schemas.microsoft.com/office/drawing/2014/chart" uri="{C3380CC4-5D6E-409C-BE32-E72D297353CC}">
              <c16:uniqueId val="{00000048-E954-48F9-993C-11256A0BCA95}"/>
            </c:ext>
          </c:extLst>
        </c:ser>
        <c:ser>
          <c:idx val="73"/>
          <c:order val="73"/>
          <c:spPr>
            <a:ln w="3175">
              <a:solidFill>
                <a:srgbClr val="000000"/>
              </a:solidFill>
              <a:prstDash val="solid"/>
            </a:ln>
          </c:spPr>
          <c:marker>
            <c:symbol val="none"/>
          </c:marker>
          <c:xVal>
            <c:numLit>
              <c:formatCode>General</c:formatCode>
              <c:ptCount val="2"/>
              <c:pt idx="0">
                <c:v>-7.5755376082004524</c:v>
              </c:pt>
              <c:pt idx="1">
                <c:v>-7.3107945440774449</c:v>
              </c:pt>
            </c:numLit>
          </c:xVal>
          <c:yVal>
            <c:numLit>
              <c:formatCode>General</c:formatCode>
              <c:ptCount val="2"/>
              <c:pt idx="0">
                <c:v>2.7597678869968504E-2</c:v>
              </c:pt>
              <c:pt idx="1">
                <c:v>2.7515063686918976E-2</c:v>
              </c:pt>
            </c:numLit>
          </c:yVal>
          <c:smooth val="0"/>
          <c:extLst>
            <c:ext xmlns:c16="http://schemas.microsoft.com/office/drawing/2014/chart" uri="{C3380CC4-5D6E-409C-BE32-E72D297353CC}">
              <c16:uniqueId val="{00000049-E954-48F9-993C-11256A0BCA95}"/>
            </c:ext>
          </c:extLst>
        </c:ser>
        <c:ser>
          <c:idx val="74"/>
          <c:order val="74"/>
          <c:spPr>
            <a:ln w="3175">
              <a:solidFill>
                <a:srgbClr val="000000"/>
              </a:solidFill>
              <a:prstDash val="solid"/>
            </a:ln>
          </c:spPr>
          <c:marker>
            <c:symbol val="none"/>
          </c:marker>
          <c:xVal>
            <c:numLit>
              <c:formatCode>General</c:formatCode>
              <c:ptCount val="2"/>
              <c:pt idx="0">
                <c:v>-7.6923988691653786</c:v>
              </c:pt>
              <c:pt idx="1">
                <c:v>-7.4259028861278971</c:v>
              </c:pt>
            </c:numLit>
          </c:xVal>
          <c:yVal>
            <c:numLit>
              <c:formatCode>General</c:formatCode>
              <c:ptCount val="2"/>
              <c:pt idx="0">
                <c:v>2.7467342907544576E-2</c:v>
              </c:pt>
              <c:pt idx="1">
                <c:v>2.738668276393141E-2</c:v>
              </c:pt>
            </c:numLit>
          </c:yVal>
          <c:smooth val="0"/>
          <c:extLst>
            <c:ext xmlns:c16="http://schemas.microsoft.com/office/drawing/2014/chart" uri="{C3380CC4-5D6E-409C-BE32-E72D297353CC}">
              <c16:uniqueId val="{0000004A-E954-48F9-993C-11256A0BCA95}"/>
            </c:ext>
          </c:extLst>
        </c:ser>
        <c:ser>
          <c:idx val="75"/>
          <c:order val="75"/>
          <c:spPr>
            <a:ln w="3175">
              <a:solidFill>
                <a:srgbClr val="000000"/>
              </a:solidFill>
              <a:prstDash val="solid"/>
            </a:ln>
          </c:spPr>
          <c:marker>
            <c:symbol val="none"/>
          </c:marker>
          <c:xVal>
            <c:numLit>
              <c:formatCode>General</c:formatCode>
              <c:ptCount val="2"/>
              <c:pt idx="0">
                <c:v>-7.8012252834601368</c:v>
              </c:pt>
              <c:pt idx="1">
                <c:v>-7.5330969042082341</c:v>
              </c:pt>
            </c:numLit>
          </c:xVal>
          <c:yVal>
            <c:numLit>
              <c:formatCode>General</c:formatCode>
              <c:ptCount val="2"/>
              <c:pt idx="0">
                <c:v>2.7342259689686454E-2</c:v>
              </c:pt>
              <c:pt idx="1">
                <c:v>2.7263475794341158E-2</c:v>
              </c:pt>
            </c:numLit>
          </c:yVal>
          <c:smooth val="0"/>
          <c:extLst>
            <c:ext xmlns:c16="http://schemas.microsoft.com/office/drawing/2014/chart" uri="{C3380CC4-5D6E-409C-BE32-E72D297353CC}">
              <c16:uniqueId val="{0000004B-E954-48F9-993C-11256A0BCA95}"/>
            </c:ext>
          </c:extLst>
        </c:ser>
        <c:ser>
          <c:idx val="76"/>
          <c:order val="76"/>
          <c:spPr>
            <a:ln w="3175">
              <a:solidFill>
                <a:srgbClr val="000000"/>
              </a:solidFill>
              <a:prstDash val="solid"/>
            </a:ln>
          </c:spPr>
          <c:marker>
            <c:symbol val="none"/>
          </c:marker>
          <c:xVal>
            <c:numLit>
              <c:formatCode>General</c:formatCode>
              <c:ptCount val="2"/>
              <c:pt idx="0">
                <c:v>-7.9026940850573961</c:v>
              </c:pt>
              <c:pt idx="1">
                <c:v>-7.6330436737815353</c:v>
              </c:pt>
            </c:numLit>
          </c:xVal>
          <c:yVal>
            <c:numLit>
              <c:formatCode>General</c:formatCode>
              <c:ptCount val="2"/>
              <c:pt idx="0">
                <c:v>2.7222175360855375E-2</c:v>
              </c:pt>
              <c:pt idx="1">
                <c:v>2.7145192730442545E-2</c:v>
              </c:pt>
            </c:numLit>
          </c:yVal>
          <c:smooth val="0"/>
          <c:extLst>
            <c:ext xmlns:c16="http://schemas.microsoft.com/office/drawing/2014/chart" uri="{C3380CC4-5D6E-409C-BE32-E72D297353CC}">
              <c16:uniqueId val="{0000004C-E954-48F9-993C-11256A0BCA95}"/>
            </c:ext>
          </c:extLst>
        </c:ser>
        <c:ser>
          <c:idx val="77"/>
          <c:order val="77"/>
          <c:spPr>
            <a:ln w="3175">
              <a:solidFill>
                <a:srgbClr val="000000"/>
              </a:solidFill>
              <a:prstDash val="solid"/>
            </a:ln>
          </c:spPr>
          <c:marker>
            <c:symbol val="none"/>
          </c:marker>
          <c:xVal>
            <c:numLit>
              <c:formatCode>General</c:formatCode>
              <c:ptCount val="2"/>
              <c:pt idx="0">
                <c:v>-7.9974174593411815</c:v>
              </c:pt>
              <c:pt idx="1">
                <c:v>-7.726346197451063</c:v>
              </c:pt>
            </c:numLit>
          </c:xVal>
          <c:yVal>
            <c:numLit>
              <c:formatCode>General</c:formatCode>
              <c:ptCount val="2"/>
              <c:pt idx="0">
                <c:v>2.7106846028461383E-2</c:v>
              </c:pt>
              <c:pt idx="1">
                <c:v>2.7031593338034461E-2</c:v>
              </c:pt>
            </c:numLit>
          </c:yVal>
          <c:smooth val="0"/>
          <c:extLst>
            <c:ext xmlns:c16="http://schemas.microsoft.com/office/drawing/2014/chart" uri="{C3380CC4-5D6E-409C-BE32-E72D297353CC}">
              <c16:uniqueId val="{0000004D-E954-48F9-993C-11256A0BCA95}"/>
            </c:ext>
          </c:extLst>
        </c:ser>
        <c:ser>
          <c:idx val="78"/>
          <c:order val="78"/>
          <c:spPr>
            <a:ln w="3175">
              <a:solidFill>
                <a:srgbClr val="000000"/>
              </a:solidFill>
              <a:prstDash val="solid"/>
            </a:ln>
          </c:spPr>
          <c:marker>
            <c:symbol val="none"/>
          </c:marker>
          <c:xVal>
            <c:numLit>
              <c:formatCode>General</c:formatCode>
              <c:ptCount val="2"/>
              <c:pt idx="0">
                <c:v>-8.1687909686905282</c:v>
              </c:pt>
              <c:pt idx="1">
                <c:v>-7.8951491041601694</c:v>
              </c:pt>
            </c:numLit>
          </c:xVal>
          <c:yVal>
            <c:numLit>
              <c:formatCode>General</c:formatCode>
              <c:ptCount val="2"/>
              <c:pt idx="0">
                <c:v>2.6889529184494495E-2</c:v>
              </c:pt>
              <c:pt idx="1">
                <c:v>2.6817536246727079E-2</c:v>
              </c:pt>
            </c:numLit>
          </c:yVal>
          <c:smooth val="0"/>
          <c:extLst>
            <c:ext xmlns:c16="http://schemas.microsoft.com/office/drawing/2014/chart" uri="{C3380CC4-5D6E-409C-BE32-E72D297353CC}">
              <c16:uniqueId val="{0000004E-E954-48F9-993C-11256A0BCA95}"/>
            </c:ext>
          </c:extLst>
        </c:ser>
        <c:ser>
          <c:idx val="79"/>
          <c:order val="79"/>
          <c:spPr>
            <a:ln w="3175">
              <a:solidFill>
                <a:srgbClr val="000000"/>
              </a:solidFill>
              <a:prstDash val="solid"/>
            </a:ln>
          </c:spPr>
          <c:marker>
            <c:symbol val="none"/>
          </c:marker>
          <c:xVal>
            <c:numLit>
              <c:formatCode>General</c:formatCode>
              <c:ptCount val="2"/>
              <c:pt idx="0">
                <c:v>-8.3191803778089461</c:v>
              </c:pt>
              <c:pt idx="1">
                <c:v>-8.043282672141812</c:v>
              </c:pt>
            </c:numLit>
          </c:xVal>
          <c:yVal>
            <c:numLit>
              <c:formatCode>General</c:formatCode>
              <c:ptCount val="2"/>
              <c:pt idx="0">
                <c:v>2.668856936300271E-2</c:v>
              </c:pt>
              <c:pt idx="1">
                <c:v>2.661959082255767E-2</c:v>
              </c:pt>
            </c:numLit>
          </c:yVal>
          <c:smooth val="0"/>
          <c:extLst>
            <c:ext xmlns:c16="http://schemas.microsoft.com/office/drawing/2014/chart" uri="{C3380CC4-5D6E-409C-BE32-E72D297353CC}">
              <c16:uniqueId val="{0000004F-E954-48F9-993C-11256A0BCA95}"/>
            </c:ext>
          </c:extLst>
        </c:ser>
        <c:ser>
          <c:idx val="80"/>
          <c:order val="80"/>
          <c:spPr>
            <a:ln w="3175">
              <a:solidFill>
                <a:srgbClr val="000000"/>
              </a:solidFill>
              <a:prstDash val="solid"/>
            </a:ln>
          </c:spPr>
          <c:marker>
            <c:symbol val="none"/>
          </c:marker>
          <c:xVal>
            <c:numLit>
              <c:formatCode>General</c:formatCode>
              <c:ptCount val="2"/>
              <c:pt idx="0">
                <c:v>-8.4517421631165437</c:v>
              </c:pt>
              <c:pt idx="1">
                <c:v>-8.1738560306697945</c:v>
              </c:pt>
            </c:numLit>
          </c:xVal>
          <c:yVal>
            <c:numLit>
              <c:formatCode>General</c:formatCode>
              <c:ptCount val="2"/>
              <c:pt idx="0">
                <c:v>2.6502394789499222E-2</c:v>
              </c:pt>
              <c:pt idx="1">
                <c:v>2.6436208867656734E-2</c:v>
              </c:pt>
            </c:numLit>
          </c:yVal>
          <c:smooth val="0"/>
          <c:extLst>
            <c:ext xmlns:c16="http://schemas.microsoft.com/office/drawing/2014/chart" uri="{C3380CC4-5D6E-409C-BE32-E72D297353CC}">
              <c16:uniqueId val="{00000050-E954-48F9-993C-11256A0BCA95}"/>
            </c:ext>
          </c:extLst>
        </c:ser>
        <c:ser>
          <c:idx val="81"/>
          <c:order val="81"/>
          <c:spPr>
            <a:ln w="3175">
              <a:solidFill>
                <a:srgbClr val="000000"/>
              </a:solidFill>
              <a:prstDash val="solid"/>
            </a:ln>
          </c:spPr>
          <c:marker>
            <c:symbol val="none"/>
          </c:marker>
          <c:xVal>
            <c:numLit>
              <c:formatCode>General</c:formatCode>
              <c:ptCount val="2"/>
              <c:pt idx="0">
                <c:v>-8.5690858297303354</c:v>
              </c:pt>
              <c:pt idx="1">
                <c:v>-8.289439542284379</c:v>
              </c:pt>
            </c:numLit>
          </c:xVal>
          <c:yVal>
            <c:numLit>
              <c:formatCode>General</c:formatCode>
              <c:ptCount val="2"/>
              <c:pt idx="0">
                <c:v>2.6329593545922181E-2</c:v>
              </c:pt>
              <c:pt idx="1">
                <c:v>2.6265999642733351E-2</c:v>
              </c:pt>
            </c:numLit>
          </c:yVal>
          <c:smooth val="0"/>
          <c:extLst>
            <c:ext xmlns:c16="http://schemas.microsoft.com/office/drawing/2014/chart" uri="{C3380CC4-5D6E-409C-BE32-E72D297353CC}">
              <c16:uniqueId val="{00000051-E954-48F9-993C-11256A0BCA95}"/>
            </c:ext>
          </c:extLst>
        </c:ser>
        <c:ser>
          <c:idx val="82"/>
          <c:order val="82"/>
          <c:spPr>
            <a:ln w="3175">
              <a:solidFill>
                <a:srgbClr val="000000"/>
              </a:solidFill>
              <a:prstDash val="solid"/>
            </a:ln>
          </c:spPr>
          <c:marker>
            <c:symbol val="none"/>
          </c:marker>
          <c:xVal>
            <c:numLit>
              <c:formatCode>General</c:formatCode>
              <c:ptCount val="2"/>
              <c:pt idx="0">
                <c:v>-8.673378407042021</c:v>
              </c:pt>
              <c:pt idx="1">
                <c:v>-8.1109570548307595</c:v>
              </c:pt>
            </c:numLit>
          </c:xVal>
          <c:yVal>
            <c:numLit>
              <c:formatCode>General</c:formatCode>
              <c:ptCount val="2"/>
              <c:pt idx="0">
                <c:v>2.6168901733109907E-2</c:v>
              </c:pt>
              <c:pt idx="1">
                <c:v>2.6046534681116611E-2</c:v>
              </c:pt>
            </c:numLit>
          </c:yVal>
          <c:smooth val="0"/>
          <c:extLst>
            <c:ext xmlns:c16="http://schemas.microsoft.com/office/drawing/2014/chart" uri="{C3380CC4-5D6E-409C-BE32-E72D297353CC}">
              <c16:uniqueId val="{00000052-E954-48F9-993C-11256A0BCA95}"/>
            </c:ext>
          </c:extLst>
        </c:ser>
        <c:ser>
          <c:idx val="83"/>
          <c:order val="83"/>
          <c:spPr>
            <a:ln w="3175">
              <a:solidFill>
                <a:srgbClr val="000000"/>
              </a:solidFill>
              <a:prstDash val="solid"/>
            </a:ln>
          </c:spPr>
          <c:marker>
            <c:symbol val="none"/>
          </c:marker>
          <c:xVal>
            <c:numLit>
              <c:formatCode>General</c:formatCode>
              <c:ptCount val="2"/>
              <c:pt idx="0">
                <c:v>-8.8881681230515355</c:v>
              </c:pt>
              <c:pt idx="1">
                <c:v>-8.6037356012057611</c:v>
              </c:pt>
            </c:numLit>
          </c:xVal>
          <c:yVal>
            <c:numLit>
              <c:formatCode>General</c:formatCode>
              <c:ptCount val="2"/>
              <c:pt idx="0">
                <c:v>2.5813035647998705E-2</c:v>
              </c:pt>
              <c:pt idx="1">
                <c:v>2.5757190113278722E-2</c:v>
              </c:pt>
            </c:numLit>
          </c:yVal>
          <c:smooth val="0"/>
          <c:extLst>
            <c:ext xmlns:c16="http://schemas.microsoft.com/office/drawing/2014/chart" uri="{C3380CC4-5D6E-409C-BE32-E72D297353CC}">
              <c16:uniqueId val="{00000053-E954-48F9-993C-11256A0BCA95}"/>
            </c:ext>
          </c:extLst>
        </c:ser>
        <c:ser>
          <c:idx val="84"/>
          <c:order val="84"/>
          <c:spPr>
            <a:ln w="3175">
              <a:solidFill>
                <a:srgbClr val="000000"/>
              </a:solidFill>
              <a:prstDash val="solid"/>
            </a:ln>
          </c:spPr>
          <c:marker>
            <c:symbol val="none"/>
          </c:marker>
          <c:xVal>
            <c:numLit>
              <c:formatCode>General</c:formatCode>
              <c:ptCount val="2"/>
              <c:pt idx="0">
                <c:v>-9.0531484334052497</c:v>
              </c:pt>
              <c:pt idx="1">
                <c:v>-8.4793339804030907</c:v>
              </c:pt>
            </c:numLit>
          </c:xVal>
          <c:yVal>
            <c:numLit>
              <c:formatCode>General</c:formatCode>
              <c:ptCount val="2"/>
              <c:pt idx="0">
                <c:v>2.5511538494531361E-2</c:v>
              </c:pt>
              <c:pt idx="1">
                <c:v>2.5408892339695417E-2</c:v>
              </c:pt>
            </c:numLit>
          </c:yVal>
          <c:smooth val="0"/>
          <c:extLst>
            <c:ext xmlns:c16="http://schemas.microsoft.com/office/drawing/2014/chart" uri="{C3380CC4-5D6E-409C-BE32-E72D297353CC}">
              <c16:uniqueId val="{00000054-E954-48F9-993C-11256A0BCA95}"/>
            </c:ext>
          </c:extLst>
        </c:ser>
        <c:ser>
          <c:idx val="85"/>
          <c:order val="85"/>
          <c:spPr>
            <a:ln w="3175">
              <a:solidFill>
                <a:srgbClr val="000000"/>
              </a:solidFill>
              <a:prstDash val="solid"/>
            </a:ln>
          </c:spPr>
          <c:marker>
            <c:symbol val="none"/>
          </c:marker>
          <c:xVal>
            <c:numLit>
              <c:formatCode>General</c:formatCode>
              <c:ptCount val="2"/>
              <c:pt idx="0">
                <c:v>-9.2852441751086943</c:v>
              </c:pt>
              <c:pt idx="1">
                <c:v>-8.9948555124820633</c:v>
              </c:pt>
            </c:numLit>
          </c:xVal>
          <c:yVal>
            <c:numLit>
              <c:formatCode>General</c:formatCode>
              <c:ptCount val="2"/>
              <c:pt idx="0">
                <c:v>2.5030233287462008E-2</c:v>
              </c:pt>
              <c:pt idx="1">
                <c:v>2.4986129788150079E-2</c:v>
              </c:pt>
            </c:numLit>
          </c:yVal>
          <c:smooth val="0"/>
          <c:extLst>
            <c:ext xmlns:c16="http://schemas.microsoft.com/office/drawing/2014/chart" uri="{C3380CC4-5D6E-409C-BE32-E72D297353CC}">
              <c16:uniqueId val="{00000055-E954-48F9-993C-11256A0BCA95}"/>
            </c:ext>
          </c:extLst>
        </c:ser>
        <c:ser>
          <c:idx val="86"/>
          <c:order val="86"/>
          <c:spPr>
            <a:ln w="3175">
              <a:solidFill>
                <a:srgbClr val="000000"/>
              </a:solidFill>
              <a:prstDash val="solid"/>
            </a:ln>
          </c:spPr>
          <c:marker>
            <c:symbol val="none"/>
          </c:marker>
          <c:xVal>
            <c:numLit>
              <c:formatCode>General</c:formatCode>
              <c:ptCount val="2"/>
              <c:pt idx="0">
                <c:v>-9.4366033414701871</c:v>
              </c:pt>
              <c:pt idx="1">
                <c:v>-8.8512852412260798</c:v>
              </c:pt>
            </c:numLit>
          </c:xVal>
          <c:yVal>
            <c:numLit>
              <c:formatCode>General</c:formatCode>
              <c:ptCount val="2"/>
              <c:pt idx="0">
                <c:v>2.4664538936367223E-2</c:v>
              </c:pt>
              <c:pt idx="1">
                <c:v>2.4587302768276208E-2</c:v>
              </c:pt>
            </c:numLit>
          </c:yVal>
          <c:smooth val="0"/>
          <c:extLst>
            <c:ext xmlns:c16="http://schemas.microsoft.com/office/drawing/2014/chart" uri="{C3380CC4-5D6E-409C-BE32-E72D297353CC}">
              <c16:uniqueId val="{00000056-E954-48F9-993C-11256A0BCA95}"/>
            </c:ext>
          </c:extLst>
        </c:ser>
        <c:ser>
          <c:idx val="87"/>
          <c:order val="87"/>
          <c:spPr>
            <a:ln w="3175">
              <a:solidFill>
                <a:srgbClr val="000000"/>
              </a:solidFill>
              <a:prstDash val="solid"/>
            </a:ln>
          </c:spPr>
          <c:marker>
            <c:symbol val="none"/>
          </c:marker>
          <c:xVal>
            <c:numLit>
              <c:formatCode>General</c:formatCode>
              <c:ptCount val="2"/>
              <c:pt idx="0">
                <c:v>-9.493110951018668</c:v>
              </c:pt>
              <c:pt idx="1">
                <c:v>-9.1996042867533863</c:v>
              </c:pt>
            </c:numLit>
          </c:xVal>
          <c:yVal>
            <c:numLit>
              <c:formatCode>General</c:formatCode>
              <c:ptCount val="2"/>
              <c:pt idx="0">
                <c:v>2.4513079167371363E-2</c:v>
              </c:pt>
              <c:pt idx="1">
                <c:v>2.4476732979860794E-2</c:v>
              </c:pt>
            </c:numLit>
          </c:yVal>
          <c:smooth val="0"/>
          <c:extLst>
            <c:ext xmlns:c16="http://schemas.microsoft.com/office/drawing/2014/chart" uri="{C3380CC4-5D6E-409C-BE32-E72D297353CC}">
              <c16:uniqueId val="{00000057-E954-48F9-993C-11256A0BCA95}"/>
            </c:ext>
          </c:extLst>
        </c:ser>
        <c:ser>
          <c:idx val="88"/>
          <c:order val="88"/>
          <c:spPr>
            <a:ln w="3175">
              <a:solidFill>
                <a:srgbClr val="000000"/>
              </a:solidFill>
              <a:prstDash val="solid"/>
            </a:ln>
          </c:spPr>
          <c:marker>
            <c:symbol val="none"/>
          </c:marker>
          <c:xVal>
            <c:numLit>
              <c:formatCode>General</c:formatCode>
              <c:ptCount val="2"/>
              <c:pt idx="0">
                <c:v>-9.7432697699743329</c:v>
              </c:pt>
              <c:pt idx="1">
                <c:v>-9.1487516768751007</c:v>
              </c:pt>
            </c:numLit>
          </c:xVal>
          <c:yVal>
            <c:numLit>
              <c:formatCode>General</c:formatCode>
              <c:ptCount val="2"/>
              <c:pt idx="0">
                <c:v>2.3669257953937196E-2</c:v>
              </c:pt>
              <c:pt idx="1">
                <c:v>2.362188021531908E-2</c:v>
              </c:pt>
            </c:numLit>
          </c:yVal>
          <c:smooth val="0"/>
          <c:extLst>
            <c:ext xmlns:c16="http://schemas.microsoft.com/office/drawing/2014/chart" uri="{C3380CC4-5D6E-409C-BE32-E72D297353CC}">
              <c16:uniqueId val="{00000058-E954-48F9-993C-11256A0BCA95}"/>
            </c:ext>
          </c:extLst>
        </c:ser>
        <c:ser>
          <c:idx val="89"/>
          <c:order val="89"/>
          <c:spPr>
            <a:ln w="3175">
              <a:solidFill>
                <a:srgbClr val="000000"/>
              </a:solidFill>
              <a:prstDash val="solid"/>
            </a:ln>
          </c:spPr>
          <c:marker>
            <c:symbol val="none"/>
          </c:marker>
          <c:xVal>
            <c:numLit>
              <c:formatCode>General</c:formatCode>
              <c:ptCount val="2"/>
              <c:pt idx="0">
                <c:v>-9.8316174242377894</c:v>
              </c:pt>
              <c:pt idx="1">
                <c:v>-9.5330331628742222</c:v>
              </c:pt>
            </c:numLit>
          </c:xVal>
          <c:yVal>
            <c:numLit>
              <c:formatCode>General</c:formatCode>
              <c:ptCount val="2"/>
              <c:pt idx="0">
                <c:v>2.3226253054330244E-2</c:v>
              </c:pt>
              <c:pt idx="1">
                <c:v>2.3209209258515291E-2</c:v>
              </c:pt>
            </c:numLit>
          </c:yVal>
          <c:smooth val="0"/>
          <c:extLst>
            <c:ext xmlns:c16="http://schemas.microsoft.com/office/drawing/2014/chart" uri="{C3380CC4-5D6E-409C-BE32-E72D297353CC}">
              <c16:uniqueId val="{00000059-E954-48F9-993C-11256A0BCA95}"/>
            </c:ext>
          </c:extLst>
        </c:ser>
        <c:ser>
          <c:idx val="90"/>
          <c:order val="90"/>
          <c:spPr>
            <a:ln w="3175">
              <a:solidFill>
                <a:srgbClr val="000000"/>
              </a:solidFill>
              <a:prstDash val="solid"/>
            </a:ln>
          </c:spPr>
          <c:marker>
            <c:symbol val="none"/>
          </c:marker>
          <c:xVal>
            <c:numLit>
              <c:formatCode>General</c:formatCode>
              <c:ptCount val="2"/>
              <c:pt idx="0">
                <c:v>-9.8685661086529635</c:v>
              </c:pt>
              <c:pt idx="1">
                <c:v>-9.2702891253933739</c:v>
              </c:pt>
            </c:numLit>
          </c:xVal>
          <c:yVal>
            <c:numLit>
              <c:formatCode>General</c:formatCode>
              <c:ptCount val="2"/>
              <c:pt idx="0">
                <c:v>2.297677662357207E-2</c:v>
              </c:pt>
              <c:pt idx="1">
                <c:v>2.2950173324864907E-2</c:v>
              </c:pt>
            </c:numLit>
          </c:yVal>
          <c:smooth val="0"/>
          <c:extLst>
            <c:ext xmlns:c16="http://schemas.microsoft.com/office/drawing/2014/chart" uri="{C3380CC4-5D6E-409C-BE32-E72D297353CC}">
              <c16:uniqueId val="{0000005A-E954-48F9-993C-11256A0BCA95}"/>
            </c:ext>
          </c:extLst>
        </c:ser>
        <c:ser>
          <c:idx val="91"/>
          <c:order val="91"/>
          <c:spPr>
            <a:ln w="3175">
              <a:solidFill>
                <a:srgbClr val="000000"/>
              </a:solidFill>
              <a:prstDash val="solid"/>
            </a:ln>
          </c:spPr>
          <c:marker>
            <c:symbol val="none"/>
          </c:marker>
          <c:xVal>
            <c:numLit>
              <c:formatCode>General</c:formatCode>
              <c:ptCount val="2"/>
              <c:pt idx="0">
                <c:v>-9.8983177574236123</c:v>
              </c:pt>
              <c:pt idx="1">
                <c:v>-9.5987329910622581</c:v>
              </c:pt>
            </c:numLit>
          </c:xVal>
          <c:yVal>
            <c:numLit>
              <c:formatCode>General</c:formatCode>
              <c:ptCount val="2"/>
              <c:pt idx="0">
                <c:v>2.2705874799960772E-2</c:v>
              </c:pt>
              <c:pt idx="1">
                <c:v>2.269663667796136E-2</c:v>
              </c:pt>
            </c:numLit>
          </c:yVal>
          <c:smooth val="0"/>
          <c:extLst>
            <c:ext xmlns:c16="http://schemas.microsoft.com/office/drawing/2014/chart" uri="{C3380CC4-5D6E-409C-BE32-E72D297353CC}">
              <c16:uniqueId val="{0000005B-E954-48F9-993C-11256A0BCA95}"/>
            </c:ext>
          </c:extLst>
        </c:ser>
        <c:ser>
          <c:idx val="92"/>
          <c:order val="92"/>
          <c:spPr>
            <a:ln w="3175">
              <a:solidFill>
                <a:srgbClr val="000000"/>
              </a:solidFill>
              <a:prstDash val="solid"/>
            </a:ln>
          </c:spPr>
          <c:marker>
            <c:symbol val="none"/>
          </c:marker>
          <c:xVal>
            <c:numLit>
              <c:formatCode>General</c:formatCode>
              <c:ptCount val="2"/>
              <c:pt idx="0">
                <c:v>-9.909769224978497</c:v>
              </c:pt>
              <c:pt idx="1">
                <c:v>-9.6100126866038185</c:v>
              </c:pt>
            </c:numLit>
          </c:xVal>
          <c:yVal>
            <c:numLit>
              <c:formatCode>General</c:formatCode>
              <c:ptCount val="2"/>
              <c:pt idx="0">
                <c:v>2.2561654115928028E-2</c:v>
              </c:pt>
              <c:pt idx="1">
                <c:v>2.2554579304189106E-2</c:v>
              </c:pt>
            </c:numLit>
          </c:yVal>
          <c:smooth val="0"/>
          <c:extLst>
            <c:ext xmlns:c16="http://schemas.microsoft.com/office/drawing/2014/chart" uri="{C3380CC4-5D6E-409C-BE32-E72D297353CC}">
              <c16:uniqueId val="{0000005C-E954-48F9-993C-11256A0BCA95}"/>
            </c:ext>
          </c:extLst>
        </c:ser>
        <c:ser>
          <c:idx val="93"/>
          <c:order val="93"/>
          <c:spPr>
            <a:ln w="3175">
              <a:solidFill>
                <a:srgbClr val="000000"/>
              </a:solidFill>
              <a:prstDash val="solid"/>
            </a:ln>
          </c:spPr>
          <c:marker>
            <c:symbol val="none"/>
          </c:marker>
          <c:xVal>
            <c:numLit>
              <c:formatCode>General</c:formatCode>
              <c:ptCount val="2"/>
              <c:pt idx="0">
                <c:v>-9.9260000000000002</c:v>
              </c:pt>
              <c:pt idx="1">
                <c:v>-9.3259999999999987</c:v>
              </c:pt>
            </c:numLit>
          </c:xVal>
          <c:yVal>
            <c:numLit>
              <c:formatCode>General</c:formatCode>
              <c:ptCount val="2"/>
              <c:pt idx="0">
                <c:v>2.2089999999999999E-2</c:v>
              </c:pt>
              <c:pt idx="1">
                <c:v>2.2089999999999999E-2</c:v>
              </c:pt>
            </c:numLit>
          </c:yVal>
          <c:smooth val="0"/>
          <c:extLst>
            <c:ext xmlns:c16="http://schemas.microsoft.com/office/drawing/2014/chart" uri="{C3380CC4-5D6E-409C-BE32-E72D297353CC}">
              <c16:uniqueId val="{0000005D-E954-48F9-993C-11256A0BCA95}"/>
            </c:ext>
          </c:extLst>
        </c:ser>
        <c:ser>
          <c:idx val="94"/>
          <c:order val="94"/>
          <c:spPr>
            <a:ln w="3175">
              <a:solidFill>
                <a:srgbClr val="000000"/>
              </a:solidFill>
              <a:prstDash val="solid"/>
            </a:ln>
          </c:spPr>
          <c:marker>
            <c:symbol val="none"/>
          </c:marker>
          <c:xVal>
            <c:numLit>
              <c:formatCode>General</c:formatCode>
              <c:ptCount val="2"/>
              <c:pt idx="0">
                <c:v>-9.9048994991538031</c:v>
              </c:pt>
              <c:pt idx="1">
                <c:v>-9.3055325141791876</c:v>
              </c:pt>
            </c:numLit>
          </c:xVal>
          <c:yVal>
            <c:numLit>
              <c:formatCode>General</c:formatCode>
              <c:ptCount val="2"/>
              <c:pt idx="0">
                <c:v>2.1552258030873392E-2</c:v>
              </c:pt>
              <c:pt idx="1">
                <c:v>2.1568390289947188E-2</c:v>
              </c:pt>
            </c:numLit>
          </c:yVal>
          <c:smooth val="0"/>
          <c:extLst>
            <c:ext xmlns:c16="http://schemas.microsoft.com/office/drawing/2014/chart" uri="{C3380CC4-5D6E-409C-BE32-E72D297353CC}">
              <c16:uniqueId val="{0000005E-E954-48F9-993C-11256A0BCA95}"/>
            </c:ext>
          </c:extLst>
        </c:ser>
        <c:ser>
          <c:idx val="95"/>
          <c:order val="95"/>
          <c:spPr>
            <a:ln w="3175">
              <a:solidFill>
                <a:srgbClr val="000000"/>
              </a:solidFill>
              <a:prstDash val="solid"/>
            </a:ln>
          </c:spPr>
          <c:marker>
            <c:symbol val="none"/>
          </c:marker>
          <c:xVal>
            <c:numLit>
              <c:formatCode>General</c:formatCode>
              <c:ptCount val="2"/>
              <c:pt idx="0">
                <c:v>-9.88672255050116</c:v>
              </c:pt>
              <c:pt idx="1">
                <c:v>-9.5873117122436415</c:v>
              </c:pt>
            </c:numLit>
          </c:xVal>
          <c:yVal>
            <c:numLit>
              <c:formatCode>General</c:formatCode>
              <c:ptCount val="2"/>
              <c:pt idx="0">
                <c:v>2.1356499457712085E-2</c:v>
              </c:pt>
              <c:pt idx="1">
                <c:v>2.1367501965846403E-2</c:v>
              </c:pt>
            </c:numLit>
          </c:yVal>
          <c:smooth val="0"/>
          <c:extLst>
            <c:ext xmlns:c16="http://schemas.microsoft.com/office/drawing/2014/chart" uri="{C3380CC4-5D6E-409C-BE32-E72D297353CC}">
              <c16:uniqueId val="{0000005F-E954-48F9-993C-11256A0BCA95}"/>
            </c:ext>
          </c:extLst>
        </c:ser>
        <c:ser>
          <c:idx val="96"/>
          <c:order val="96"/>
          <c:spPr>
            <a:ln w="3175">
              <a:solidFill>
                <a:srgbClr val="000000"/>
              </a:solidFill>
              <a:prstDash val="solid"/>
            </a:ln>
          </c:spPr>
          <c:marker>
            <c:symbol val="none"/>
          </c:marker>
          <c:xVal>
            <c:numLit>
              <c:formatCode>General</c:formatCode>
              <c:ptCount val="2"/>
              <c:pt idx="0">
                <c:v>-9.8289290466534833</c:v>
              </c:pt>
              <c:pt idx="1">
                <c:v>-9.2318411752538783</c:v>
              </c:pt>
            </c:numLit>
          </c:xVal>
          <c:yVal>
            <c:numLit>
              <c:formatCode>General</c:formatCode>
              <c:ptCount val="2"/>
              <c:pt idx="0">
                <c:v>2.0937716961728577E-2</c:v>
              </c:pt>
              <c:pt idx="1">
                <c:v>2.0972285452876719E-2</c:v>
              </c:pt>
            </c:numLit>
          </c:yVal>
          <c:smooth val="0"/>
          <c:extLst>
            <c:ext xmlns:c16="http://schemas.microsoft.com/office/drawing/2014/chart" uri="{C3380CC4-5D6E-409C-BE32-E72D297353CC}">
              <c16:uniqueId val="{00000060-E954-48F9-993C-11256A0BCA95}"/>
            </c:ext>
          </c:extLst>
        </c:ser>
        <c:ser>
          <c:idx val="97"/>
          <c:order val="97"/>
          <c:spPr>
            <a:ln w="3175">
              <a:solidFill>
                <a:srgbClr val="000000"/>
              </a:solidFill>
              <a:prstDash val="solid"/>
            </a:ln>
          </c:spPr>
          <c:marker>
            <c:symbol val="none"/>
          </c:marker>
          <c:xVal>
            <c:numLit>
              <c:formatCode>General</c:formatCode>
              <c:ptCount val="2"/>
              <c:pt idx="0">
                <c:v>-9.735992486381873</c:v>
              </c:pt>
              <c:pt idx="1">
                <c:v>-9.1416927117904159</c:v>
              </c:pt>
            </c:numLit>
          </c:xVal>
          <c:yVal>
            <c:numLit>
              <c:formatCode>General</c:formatCode>
              <c:ptCount val="2"/>
              <c:pt idx="0">
                <c:v>2.0479749031911135E-2</c:v>
              </c:pt>
              <c:pt idx="1">
                <c:v>2.05280565609538E-2</c:v>
              </c:pt>
            </c:numLit>
          </c:yVal>
          <c:smooth val="0"/>
          <c:extLst>
            <c:ext xmlns:c16="http://schemas.microsoft.com/office/drawing/2014/chart" uri="{C3380CC4-5D6E-409C-BE32-E72D297353CC}">
              <c16:uniqueId val="{00000061-E954-48F9-993C-11256A0BCA95}"/>
            </c:ext>
          </c:extLst>
        </c:ser>
        <c:ser>
          <c:idx val="98"/>
          <c:order val="98"/>
          <c:spPr>
            <a:ln w="3175">
              <a:solidFill>
                <a:srgbClr val="000000"/>
              </a:solidFill>
              <a:prstDash val="solid"/>
            </a:ln>
          </c:spPr>
          <c:marker>
            <c:symbol val="none"/>
          </c:marker>
          <c:xVal>
            <c:numLit>
              <c:formatCode>General</c:formatCode>
              <c:ptCount val="2"/>
              <c:pt idx="0">
                <c:v>-9.7017046575042745</c:v>
              </c:pt>
              <c:pt idx="1">
                <c:v>-9.40506908764171</c:v>
              </c:pt>
            </c:numLit>
          </c:xVal>
          <c:yVal>
            <c:numLit>
              <c:formatCode>General</c:formatCode>
              <c:ptCount val="2"/>
              <c:pt idx="0">
                <c:v>2.0341236007200159E-2</c:v>
              </c:pt>
              <c:pt idx="1">
                <c:v>2.0367467467092157E-2</c:v>
              </c:pt>
            </c:numLit>
          </c:yVal>
          <c:smooth val="0"/>
          <c:extLst>
            <c:ext xmlns:c16="http://schemas.microsoft.com/office/drawing/2014/chart" uri="{C3380CC4-5D6E-409C-BE32-E72D297353CC}">
              <c16:uniqueId val="{00000062-E954-48F9-993C-11256A0BCA95}"/>
            </c:ext>
          </c:extLst>
        </c:ser>
        <c:ser>
          <c:idx val="99"/>
          <c:order val="99"/>
          <c:spPr>
            <a:ln w="3175">
              <a:solidFill>
                <a:srgbClr val="000000"/>
              </a:solidFill>
              <a:prstDash val="solid"/>
            </a:ln>
          </c:spPr>
          <c:marker>
            <c:symbol val="none"/>
          </c:marker>
          <c:xVal>
            <c:numLit>
              <c:formatCode>General</c:formatCode>
              <c:ptCount val="2"/>
              <c:pt idx="0">
                <c:v>-9.6572984022501149</c:v>
              </c:pt>
              <c:pt idx="1">
                <c:v>-9.3613289262163626</c:v>
              </c:pt>
            </c:numLit>
          </c:xVal>
          <c:yVal>
            <c:numLit>
              <c:formatCode>General</c:formatCode>
              <c:ptCount val="2"/>
              <c:pt idx="0">
                <c:v>2.0177005871812564E-2</c:v>
              </c:pt>
              <c:pt idx="1">
                <c:v>2.0205700783735375E-2</c:v>
              </c:pt>
            </c:numLit>
          </c:yVal>
          <c:smooth val="0"/>
          <c:extLst>
            <c:ext xmlns:c16="http://schemas.microsoft.com/office/drawing/2014/chart" uri="{C3380CC4-5D6E-409C-BE32-E72D297353CC}">
              <c16:uniqueId val="{00000063-E954-48F9-993C-11256A0BCA95}"/>
            </c:ext>
          </c:extLst>
        </c:ser>
        <c:ser>
          <c:idx val="100"/>
          <c:order val="100"/>
          <c:spPr>
            <a:ln w="3175">
              <a:solidFill>
                <a:srgbClr val="000000"/>
              </a:solidFill>
              <a:prstDash val="solid"/>
            </a:ln>
          </c:spPr>
          <c:marker>
            <c:symbol val="none"/>
          </c:marker>
          <c:xVal>
            <c:numLit>
              <c:formatCode>General</c:formatCode>
              <c:ptCount val="2"/>
              <c:pt idx="0">
                <c:v>-9.5984025100640622</c:v>
              </c:pt>
              <c:pt idx="1">
                <c:v>-9.0082304347621385</c:v>
              </c:pt>
            </c:numLit>
          </c:xVal>
          <c:yVal>
            <c:numLit>
              <c:formatCode>General</c:formatCode>
              <c:ptCount val="2"/>
              <c:pt idx="0">
                <c:v>1.9979299236674353E-2</c:v>
              </c:pt>
              <c:pt idx="1">
                <c:v>2.0042620259574123E-2</c:v>
              </c:pt>
            </c:numLit>
          </c:yVal>
          <c:smooth val="0"/>
          <c:extLst>
            <c:ext xmlns:c16="http://schemas.microsoft.com/office/drawing/2014/chart" uri="{C3380CC4-5D6E-409C-BE32-E72D297353CC}">
              <c16:uniqueId val="{00000064-E954-48F9-993C-11256A0BCA95}"/>
            </c:ext>
          </c:extLst>
        </c:ser>
        <c:ser>
          <c:idx val="101"/>
          <c:order val="101"/>
          <c:spPr>
            <a:ln w="3175">
              <a:solidFill>
                <a:srgbClr val="000000"/>
              </a:solidFill>
              <a:prstDash val="solid"/>
            </a:ln>
          </c:spPr>
          <c:marker>
            <c:symbol val="none"/>
          </c:marker>
          <c:xVal>
            <c:numLit>
              <c:formatCode>General</c:formatCode>
              <c:ptCount val="2"/>
              <c:pt idx="0">
                <c:v>-9.5180333290136545</c:v>
              </c:pt>
              <c:pt idx="1">
                <c:v>-9.2241528290784487</c:v>
              </c:pt>
            </c:numLit>
          </c:xVal>
          <c:yVal>
            <c:numLit>
              <c:formatCode>General</c:formatCode>
              <c:ptCount val="2"/>
              <c:pt idx="0">
                <c:v>1.9736965042908547E-2</c:v>
              </c:pt>
              <c:pt idx="1">
                <c:v>1.9772260567264919E-2</c:v>
              </c:pt>
            </c:numLit>
          </c:yVal>
          <c:smooth val="0"/>
          <c:extLst>
            <c:ext xmlns:c16="http://schemas.microsoft.com/office/drawing/2014/chart" uri="{C3380CC4-5D6E-409C-BE32-E72D297353CC}">
              <c16:uniqueId val="{00000065-E954-48F9-993C-11256A0BCA95}"/>
            </c:ext>
          </c:extLst>
        </c:ser>
        <c:ser>
          <c:idx val="102"/>
          <c:order val="102"/>
          <c:spPr>
            <a:ln w="3175">
              <a:solidFill>
                <a:srgbClr val="000000"/>
              </a:solidFill>
              <a:prstDash val="solid"/>
            </a:ln>
          </c:spPr>
          <c:marker>
            <c:symbol val="none"/>
          </c:marker>
          <c:xVal>
            <c:numLit>
              <c:formatCode>General</c:formatCode>
              <c:ptCount val="2"/>
              <c:pt idx="0">
                <c:v>-9.4045026779685195</c:v>
              </c:pt>
              <c:pt idx="1">
                <c:v>-8.8201475976294628</c:v>
              </c:pt>
            </c:numLit>
          </c:xVal>
          <c:yVal>
            <c:numLit>
              <c:formatCode>General</c:formatCode>
              <c:ptCount val="2"/>
              <c:pt idx="0">
                <c:v>1.9433446838221596E-2</c:v>
              </c:pt>
              <c:pt idx="1">
                <c:v>1.9513143433074948E-2</c:v>
              </c:pt>
            </c:numLit>
          </c:yVal>
          <c:smooth val="0"/>
          <c:extLst>
            <c:ext xmlns:c16="http://schemas.microsoft.com/office/drawing/2014/chart" uri="{C3380CC4-5D6E-409C-BE32-E72D297353CC}">
              <c16:uniqueId val="{00000066-E954-48F9-993C-11256A0BCA95}"/>
            </c:ext>
          </c:extLst>
        </c:ser>
        <c:ser>
          <c:idx val="103"/>
          <c:order val="103"/>
          <c:spPr>
            <a:ln w="3175">
              <a:solidFill>
                <a:srgbClr val="000000"/>
              </a:solidFill>
              <a:prstDash val="solid"/>
            </a:ln>
          </c:spPr>
          <c:marker>
            <c:symbol val="none"/>
          </c:marker>
          <c:xVal>
            <c:numLit>
              <c:formatCode>General</c:formatCode>
              <c:ptCount val="2"/>
              <c:pt idx="0">
                <c:v>-9.237122536407238</c:v>
              </c:pt>
              <c:pt idx="1">
                <c:v>-8.6577888603150193</c:v>
              </c:pt>
            </c:numLit>
          </c:xVal>
          <c:yVal>
            <c:numLit>
              <c:formatCode>General</c:formatCode>
              <c:ptCount val="2"/>
              <c:pt idx="0">
                <c:v>1.9043221762100281E-2</c:v>
              </c:pt>
              <c:pt idx="1">
                <c:v>1.9134625109237274E-2</c:v>
              </c:pt>
            </c:numLit>
          </c:yVal>
          <c:smooth val="0"/>
          <c:extLst>
            <c:ext xmlns:c16="http://schemas.microsoft.com/office/drawing/2014/chart" uri="{C3380CC4-5D6E-409C-BE32-E72D297353CC}">
              <c16:uniqueId val="{00000067-E954-48F9-993C-11256A0BCA95}"/>
            </c:ext>
          </c:extLst>
        </c:ser>
        <c:ser>
          <c:idx val="104"/>
          <c:order val="104"/>
          <c:spPr>
            <a:ln w="3175">
              <a:solidFill>
                <a:srgbClr val="000000"/>
              </a:solidFill>
              <a:prstDash val="solid"/>
            </a:ln>
          </c:spPr>
          <c:marker>
            <c:symbol val="none"/>
          </c:marker>
          <c:xVal>
            <c:numLit>
              <c:formatCode>General</c:formatCode>
              <c:ptCount val="2"/>
              <c:pt idx="0">
                <c:v>-9.1221804875373262</c:v>
              </c:pt>
              <c:pt idx="1">
                <c:v>-8.8342377802242655</c:v>
              </c:pt>
            </c:numLit>
          </c:xVal>
          <c:yVal>
            <c:numLit>
              <c:formatCode>General</c:formatCode>
              <c:ptCount val="2"/>
              <c:pt idx="0">
                <c:v>1.8803654042302127E-2</c:v>
              </c:pt>
              <c:pt idx="1">
                <c:v>1.8852949231667592E-2</c:v>
              </c:pt>
            </c:numLit>
          </c:yVal>
          <c:smooth val="0"/>
          <c:extLst>
            <c:ext xmlns:c16="http://schemas.microsoft.com/office/drawing/2014/chart" uri="{C3380CC4-5D6E-409C-BE32-E72D297353CC}">
              <c16:uniqueId val="{00000068-E954-48F9-993C-11256A0BCA95}"/>
            </c:ext>
          </c:extLst>
        </c:ser>
        <c:ser>
          <c:idx val="105"/>
          <c:order val="105"/>
          <c:spPr>
            <a:ln w="3175">
              <a:solidFill>
                <a:srgbClr val="000000"/>
              </a:solidFill>
              <a:prstDash val="solid"/>
            </a:ln>
          </c:spPr>
          <c:marker>
            <c:symbol val="none"/>
          </c:marker>
          <c:xVal>
            <c:numLit>
              <c:formatCode>General</c:formatCode>
              <c:ptCount val="2"/>
              <c:pt idx="0">
                <c:v>-8.9766919289022642</c:v>
              </c:pt>
              <c:pt idx="1">
                <c:v>-8.4051711710351942</c:v>
              </c:pt>
            </c:numLit>
          </c:xVal>
          <c:yVal>
            <c:numLit>
              <c:formatCode>General</c:formatCode>
              <c:ptCount val="2"/>
              <c:pt idx="0">
                <c:v>1.8525241715311131E-2</c:v>
              </c:pt>
              <c:pt idx="1">
                <c:v>1.8632184463851797E-2</c:v>
              </c:pt>
            </c:numLit>
          </c:yVal>
          <c:smooth val="0"/>
          <c:extLst>
            <c:ext xmlns:c16="http://schemas.microsoft.com/office/drawing/2014/chart" uri="{C3380CC4-5D6E-409C-BE32-E72D297353CC}">
              <c16:uniqueId val="{00000069-E954-48F9-993C-11256A0BCA95}"/>
            </c:ext>
          </c:extLst>
        </c:ser>
        <c:ser>
          <c:idx val="106"/>
          <c:order val="106"/>
          <c:spPr>
            <a:ln w="3175">
              <a:solidFill>
                <a:srgbClr val="000000"/>
              </a:solidFill>
              <a:prstDash val="solid"/>
            </a:ln>
          </c:spPr>
          <c:marker>
            <c:symbol val="none"/>
          </c:marker>
          <c:xVal>
            <c:numLit>
              <c:formatCode>General</c:formatCode>
              <c:ptCount val="2"/>
              <c:pt idx="0">
                <c:v>-8.789176816642799</c:v>
              </c:pt>
              <c:pt idx="1">
                <c:v>-8.5062291643931562</c:v>
              </c:pt>
            </c:numLit>
          </c:xVal>
          <c:yVal>
            <c:numLit>
              <c:formatCode>General</c:formatCode>
              <c:ptCount val="2"/>
              <c:pt idx="0">
                <c:v>1.819840404132228E-2</c:v>
              </c:pt>
              <c:pt idx="1">
                <c:v>1.8256777980702445E-2</c:v>
              </c:pt>
            </c:numLit>
          </c:yVal>
          <c:smooth val="0"/>
          <c:extLst>
            <c:ext xmlns:c16="http://schemas.microsoft.com/office/drawing/2014/chart" uri="{C3380CC4-5D6E-409C-BE32-E72D297353CC}">
              <c16:uniqueId val="{0000006A-E954-48F9-993C-11256A0BCA95}"/>
            </c:ext>
          </c:extLst>
        </c:ser>
        <c:ser>
          <c:idx val="107"/>
          <c:order val="107"/>
          <c:spPr>
            <a:ln w="3175">
              <a:solidFill>
                <a:srgbClr val="000000"/>
              </a:solidFill>
              <a:prstDash val="solid"/>
            </a:ln>
          </c:spPr>
          <c:marker>
            <c:symbol val="none"/>
          </c:marker>
          <c:xVal>
            <c:numLit>
              <c:formatCode>General</c:formatCode>
              <c:ptCount val="2"/>
              <c:pt idx="0">
                <c:v>-8.5424615585442059</c:v>
              </c:pt>
              <c:pt idx="1">
                <c:v>-7.9839677117878791</c:v>
              </c:pt>
            </c:numLit>
          </c:xVal>
          <c:yVal>
            <c:numLit>
              <c:formatCode>General</c:formatCode>
              <c:ptCount val="2"/>
              <c:pt idx="0">
                <c:v>1.7810490574581041E-2</c:v>
              </c:pt>
              <c:pt idx="1">
                <c:v>1.7938875857343609E-2</c:v>
              </c:pt>
            </c:numLit>
          </c:yVal>
          <c:smooth val="0"/>
          <c:extLst>
            <c:ext xmlns:c16="http://schemas.microsoft.com/office/drawing/2014/chart" uri="{C3380CC4-5D6E-409C-BE32-E72D297353CC}">
              <c16:uniqueId val="{0000006B-E954-48F9-993C-11256A0BCA95}"/>
            </c:ext>
          </c:extLst>
        </c:ser>
        <c:ser>
          <c:idx val="108"/>
          <c:order val="108"/>
          <c:spPr>
            <a:ln w="3175">
              <a:solidFill>
                <a:srgbClr val="000000"/>
              </a:solidFill>
              <a:prstDash val="solid"/>
            </a:ln>
          </c:spPr>
          <c:marker>
            <c:symbol val="none"/>
          </c:marker>
          <c:xVal>
            <c:numLit>
              <c:formatCode>General</c:formatCode>
              <c:ptCount val="2"/>
              <c:pt idx="0">
                <c:v>-8.4217133635342307</c:v>
              </c:pt>
              <c:pt idx="1">
                <c:v>-8.1442776630812155</c:v>
              </c:pt>
            </c:numLit>
          </c:xVal>
          <c:yVal>
            <c:numLit>
              <c:formatCode>General</c:formatCode>
              <c:ptCount val="2"/>
              <c:pt idx="0">
                <c:v>1.7634631619898415E-2</c:v>
              </c:pt>
              <c:pt idx="1">
                <c:v>1.7701462145599939E-2</c:v>
              </c:pt>
            </c:numLit>
          </c:yVal>
          <c:smooth val="0"/>
          <c:extLst>
            <c:ext xmlns:c16="http://schemas.microsoft.com/office/drawing/2014/chart" uri="{C3380CC4-5D6E-409C-BE32-E72D297353CC}">
              <c16:uniqueId val="{0000006C-E954-48F9-993C-11256A0BCA95}"/>
            </c:ext>
          </c:extLst>
        </c:ser>
        <c:ser>
          <c:idx val="109"/>
          <c:order val="109"/>
          <c:spPr>
            <a:ln w="3175">
              <a:solidFill>
                <a:srgbClr val="000000"/>
              </a:solidFill>
              <a:prstDash val="solid"/>
            </a:ln>
          </c:spPr>
          <c:marker>
            <c:symbol val="none"/>
          </c:marker>
          <c:xVal>
            <c:numLit>
              <c:formatCode>General</c:formatCode>
              <c:ptCount val="2"/>
              <c:pt idx="0">
                <c:v>-8.2851706266474139</c:v>
              </c:pt>
              <c:pt idx="1">
                <c:v>-8.0097830672477031</c:v>
              </c:pt>
            </c:numLit>
          </c:xVal>
          <c:yVal>
            <c:numLit>
              <c:formatCode>General</c:formatCode>
              <c:ptCount val="2"/>
              <c:pt idx="0">
                <c:v>1.7445077749228596E-2</c:v>
              </c:pt>
              <c:pt idx="1">
                <c:v>1.7514751582990165E-2</c:v>
              </c:pt>
            </c:numLit>
          </c:yVal>
          <c:smooth val="0"/>
          <c:extLst>
            <c:ext xmlns:c16="http://schemas.microsoft.com/office/drawing/2014/chart" uri="{C3380CC4-5D6E-409C-BE32-E72D297353CC}">
              <c16:uniqueId val="{0000006D-E954-48F9-993C-11256A0BCA95}"/>
            </c:ext>
          </c:extLst>
        </c:ser>
        <c:ser>
          <c:idx val="110"/>
          <c:order val="110"/>
          <c:spPr>
            <a:ln w="3175">
              <a:solidFill>
                <a:srgbClr val="000000"/>
              </a:solidFill>
              <a:prstDash val="solid"/>
            </a:ln>
          </c:spPr>
          <c:marker>
            <c:symbol val="none"/>
          </c:marker>
          <c:xVal>
            <c:numLit>
              <c:formatCode>General</c:formatCode>
              <c:ptCount val="2"/>
              <c:pt idx="0">
                <c:v>-8.1301042449405116</c:v>
              </c:pt>
              <c:pt idx="1">
                <c:v>-7.8570426812664032</c:v>
              </c:pt>
            </c:numLit>
          </c:xVal>
          <c:yVal>
            <c:numLit>
              <c:formatCode>General</c:formatCode>
              <c:ptCount val="2"/>
              <c:pt idx="0">
                <c:v>1.7240380041943799E-2</c:v>
              </c:pt>
              <c:pt idx="1">
                <c:v>1.7313124341314642E-2</c:v>
              </c:pt>
            </c:numLit>
          </c:yVal>
          <c:smooth val="0"/>
          <c:extLst>
            <c:ext xmlns:c16="http://schemas.microsoft.com/office/drawing/2014/chart" uri="{C3380CC4-5D6E-409C-BE32-E72D297353CC}">
              <c16:uniqueId val="{0000006E-E954-48F9-993C-11256A0BCA95}"/>
            </c:ext>
          </c:extLst>
        </c:ser>
        <c:ser>
          <c:idx val="111"/>
          <c:order val="111"/>
          <c:spPr>
            <a:ln w="3175">
              <a:solidFill>
                <a:srgbClr val="000000"/>
              </a:solidFill>
              <a:prstDash val="solid"/>
            </a:ln>
          </c:spPr>
          <c:marker>
            <c:symbol val="none"/>
          </c:marker>
          <c:xVal>
            <c:numLit>
              <c:formatCode>General</c:formatCode>
              <c:ptCount val="2"/>
              <c:pt idx="0">
                <c:v>-7.9532096255905085</c:v>
              </c:pt>
              <c:pt idx="1">
                <c:v>-7.6828014812066501</c:v>
              </c:pt>
            </c:numLit>
          </c:xVal>
          <c:yVal>
            <c:numLit>
              <c:formatCode>General</c:formatCode>
              <c:ptCount val="2"/>
              <c:pt idx="0">
                <c:v>1.7018927341748862E-2</c:v>
              </c:pt>
              <c:pt idx="1">
                <c:v>1.7094993431622629E-2</c:v>
              </c:pt>
            </c:numLit>
          </c:yVal>
          <c:smooth val="0"/>
          <c:extLst>
            <c:ext xmlns:c16="http://schemas.microsoft.com/office/drawing/2014/chart" uri="{C3380CC4-5D6E-409C-BE32-E72D297353CC}">
              <c16:uniqueId val="{0000006F-E954-48F9-993C-11256A0BCA95}"/>
            </c:ext>
          </c:extLst>
        </c:ser>
        <c:ser>
          <c:idx val="112"/>
          <c:order val="112"/>
          <c:spPr>
            <a:ln w="3175">
              <a:solidFill>
                <a:srgbClr val="000000"/>
              </a:solidFill>
              <a:prstDash val="solid"/>
            </a:ln>
          </c:spPr>
          <c:marker>
            <c:symbol val="none"/>
          </c:marker>
          <c:xVal>
            <c:numLit>
              <c:formatCode>General</c:formatCode>
              <c:ptCount val="2"/>
              <c:pt idx="0">
                <c:v>-7.7504683323859727</c:v>
              </c:pt>
              <c:pt idx="1">
                <c:v>-7.2157342824143917</c:v>
              </c:pt>
            </c:numLit>
          </c:xVal>
          <c:yVal>
            <c:numLit>
              <c:formatCode>General</c:formatCode>
              <c:ptCount val="2"/>
              <c:pt idx="0">
                <c:v>1.6778939428956387E-2</c:v>
              </c:pt>
              <c:pt idx="1">
                <c:v>1.6938271246087697E-2</c:v>
              </c:pt>
            </c:numLit>
          </c:yVal>
          <c:smooth val="0"/>
          <c:extLst>
            <c:ext xmlns:c16="http://schemas.microsoft.com/office/drawing/2014/chart" uri="{C3380CC4-5D6E-409C-BE32-E72D297353CC}">
              <c16:uniqueId val="{00000070-E954-48F9-993C-11256A0BCA95}"/>
            </c:ext>
          </c:extLst>
        </c:ser>
        <c:ser>
          <c:idx val="113"/>
          <c:order val="113"/>
          <c:spPr>
            <a:ln w="3175">
              <a:solidFill>
                <a:srgbClr val="000000"/>
              </a:solidFill>
              <a:prstDash val="solid"/>
            </a:ln>
          </c:spPr>
          <c:marker>
            <c:symbol val="none"/>
          </c:marker>
          <c:xVal>
            <c:numLit>
              <c:formatCode>General</c:formatCode>
              <c:ptCount val="2"/>
              <c:pt idx="0">
                <c:v>-7.63791246721836</c:v>
              </c:pt>
              <c:pt idx="1">
                <c:v>-7.3722337802100846</c:v>
              </c:pt>
            </c:numLit>
          </c:xVal>
          <c:yVal>
            <c:numLit>
              <c:formatCode>General</c:formatCode>
              <c:ptCount val="2"/>
              <c:pt idx="0">
                <c:v>1.6651392345486998E-2</c:v>
              </c:pt>
              <c:pt idx="1">
                <c:v>1.6732971460304693E-2</c:v>
              </c:pt>
            </c:numLit>
          </c:yVal>
          <c:smooth val="0"/>
          <c:extLst>
            <c:ext xmlns:c16="http://schemas.microsoft.com/office/drawing/2014/chart" uri="{C3380CC4-5D6E-409C-BE32-E72D297353CC}">
              <c16:uniqueId val="{00000071-E954-48F9-993C-11256A0BCA95}"/>
            </c:ext>
          </c:extLst>
        </c:ser>
        <c:ser>
          <c:idx val="114"/>
          <c:order val="114"/>
          <c:spPr>
            <a:ln w="3175">
              <a:solidFill>
                <a:srgbClr val="000000"/>
              </a:solidFill>
              <a:prstDash val="solid"/>
            </a:ln>
          </c:spPr>
          <c:marker>
            <c:symbol val="none"/>
          </c:marker>
          <c:xVal>
            <c:numLit>
              <c:formatCode>General</c:formatCode>
              <c:ptCount val="2"/>
              <c:pt idx="0">
                <c:v>-7.5169750078102524</c:v>
              </c:pt>
              <c:pt idx="1">
                <c:v>-7.253110382693098</c:v>
              </c:pt>
            </c:numLit>
          </c:xVal>
          <c:yVal>
            <c:numLit>
              <c:formatCode>General</c:formatCode>
              <c:ptCount val="2"/>
              <c:pt idx="0">
                <c:v>1.6518468611358989E-2</c:v>
              </c:pt>
              <c:pt idx="1">
                <c:v>1.6602041582188604E-2</c:v>
              </c:pt>
            </c:numLit>
          </c:yVal>
          <c:smooth val="0"/>
          <c:extLst>
            <c:ext xmlns:c16="http://schemas.microsoft.com/office/drawing/2014/chart" uri="{C3380CC4-5D6E-409C-BE32-E72D297353CC}">
              <c16:uniqueId val="{00000072-E954-48F9-993C-11256A0BCA95}"/>
            </c:ext>
          </c:extLst>
        </c:ser>
        <c:ser>
          <c:idx val="115"/>
          <c:order val="115"/>
          <c:spPr>
            <a:ln w="3175">
              <a:solidFill>
                <a:srgbClr val="000000"/>
              </a:solidFill>
              <a:prstDash val="solid"/>
            </a:ln>
          </c:spPr>
          <c:marker>
            <c:symbol val="none"/>
          </c:marker>
          <c:xVal>
            <c:numLit>
              <c:formatCode>General</c:formatCode>
              <c:ptCount val="2"/>
              <c:pt idx="0">
                <c:v>-7.386868919246691</c:v>
              </c:pt>
              <c:pt idx="1">
                <c:v>-7.1249558854579895</c:v>
              </c:pt>
            </c:numLit>
          </c:xVal>
          <c:yVal>
            <c:numLit>
              <c:formatCode>General</c:formatCode>
              <c:ptCount val="2"/>
              <c:pt idx="0">
                <c:v>1.6379901264933105E-2</c:v>
              </c:pt>
              <c:pt idx="1">
                <c:v>1.6465552745959108E-2</c:v>
              </c:pt>
            </c:numLit>
          </c:yVal>
          <c:smooth val="0"/>
          <c:extLst>
            <c:ext xmlns:c16="http://schemas.microsoft.com/office/drawing/2014/chart" uri="{C3380CC4-5D6E-409C-BE32-E72D297353CC}">
              <c16:uniqueId val="{00000073-E954-48F9-993C-11256A0BCA95}"/>
            </c:ext>
          </c:extLst>
        </c:ser>
        <c:ser>
          <c:idx val="116"/>
          <c:order val="116"/>
          <c:spPr>
            <a:ln w="3175">
              <a:solidFill>
                <a:srgbClr val="000000"/>
              </a:solidFill>
              <a:prstDash val="solid"/>
            </a:ln>
          </c:spPr>
          <c:marker>
            <c:symbol val="none"/>
          </c:marker>
          <c:xVal>
            <c:numLit>
              <c:formatCode>General</c:formatCode>
              <c:ptCount val="2"/>
              <c:pt idx="0">
                <c:v>-7.2467221830383197</c:v>
              </c:pt>
              <c:pt idx="1">
                <c:v>-6.9869113502927442</c:v>
              </c:pt>
            </c:numLit>
          </c:xVal>
          <c:yVal>
            <c:numLit>
              <c:formatCode>General</c:formatCode>
              <c:ptCount val="2"/>
              <c:pt idx="0">
                <c:v>1.6235416190852701E-2</c:v>
              </c:pt>
              <c:pt idx="1">
                <c:v>1.6323234947989911E-2</c:v>
              </c:pt>
            </c:numLit>
          </c:yVal>
          <c:smooth val="0"/>
          <c:extLst>
            <c:ext xmlns:c16="http://schemas.microsoft.com/office/drawing/2014/chart" uri="{C3380CC4-5D6E-409C-BE32-E72D297353CC}">
              <c16:uniqueId val="{00000074-E954-48F9-993C-11256A0BCA95}"/>
            </c:ext>
          </c:extLst>
        </c:ser>
        <c:ser>
          <c:idx val="117"/>
          <c:order val="117"/>
          <c:spPr>
            <a:ln w="3175">
              <a:solidFill>
                <a:srgbClr val="000000"/>
              </a:solidFill>
              <a:prstDash val="solid"/>
            </a:ln>
          </c:spPr>
          <c:marker>
            <c:symbol val="none"/>
          </c:marker>
          <c:xVal>
            <c:numLit>
              <c:formatCode>General</c:formatCode>
              <c:ptCount val="2"/>
              <c:pt idx="0">
                <c:v>-7.0955682719094346</c:v>
              </c:pt>
              <c:pt idx="1">
                <c:v>-6.5804812237521499</c:v>
              </c:pt>
            </c:numLit>
          </c:xVal>
          <c:yVal>
            <c:numLit>
              <c:formatCode>General</c:formatCode>
              <c:ptCount val="2"/>
              <c:pt idx="0">
                <c:v>1.6084734208014317E-2</c:v>
              </c:pt>
              <c:pt idx="1">
                <c:v>1.6264892181773891E-2</c:v>
              </c:pt>
            </c:numLit>
          </c:yVal>
          <c:smooth val="0"/>
          <c:extLst>
            <c:ext xmlns:c16="http://schemas.microsoft.com/office/drawing/2014/chart" uri="{C3380CC4-5D6E-409C-BE32-E72D297353CC}">
              <c16:uniqueId val="{00000075-E954-48F9-993C-11256A0BCA95}"/>
            </c:ext>
          </c:extLst>
        </c:ser>
        <c:ser>
          <c:idx val="118"/>
          <c:order val="118"/>
          <c:spPr>
            <a:ln w="3175">
              <a:solidFill>
                <a:srgbClr val="000000"/>
              </a:solidFill>
              <a:prstDash val="solid"/>
            </a:ln>
          </c:spPr>
          <c:marker>
            <c:symbol val="none"/>
          </c:marker>
          <c:xVal>
            <c:numLit>
              <c:formatCode>General</c:formatCode>
              <c:ptCount val="2"/>
              <c:pt idx="0">
                <c:v>-6.932335740628929</c:v>
              </c:pt>
              <c:pt idx="1">
                <c:v>-6.6772407045194937</c:v>
              </c:pt>
            </c:numLit>
          </c:xVal>
          <c:yVal>
            <c:numLit>
              <c:formatCode>General</c:formatCode>
              <c:ptCount val="2"/>
              <c:pt idx="0">
                <c:v>1.5927573929100981E-2</c:v>
              </c:pt>
              <c:pt idx="1">
                <c:v>1.6020010320164466E-2</c:v>
              </c:pt>
            </c:numLit>
          </c:yVal>
          <c:smooth val="0"/>
          <c:extLst>
            <c:ext xmlns:c16="http://schemas.microsoft.com/office/drawing/2014/chart" uri="{C3380CC4-5D6E-409C-BE32-E72D297353CC}">
              <c16:uniqueId val="{00000076-E954-48F9-993C-11256A0BCA95}"/>
            </c:ext>
          </c:extLst>
        </c:ser>
        <c:ser>
          <c:idx val="119"/>
          <c:order val="119"/>
          <c:spPr>
            <a:ln w="3175">
              <a:solidFill>
                <a:srgbClr val="000000"/>
              </a:solidFill>
              <a:prstDash val="solid"/>
            </a:ln>
          </c:spPr>
          <c:marker>
            <c:symbol val="none"/>
          </c:marker>
          <c:xVal>
            <c:numLit>
              <c:formatCode>General</c:formatCode>
              <c:ptCount val="2"/>
              <c:pt idx="0">
                <c:v>-6.7558369491358592</c:v>
              </c:pt>
              <c:pt idx="1">
                <c:v>-6.5033893948988206</c:v>
              </c:pt>
            </c:numLit>
          </c:xVal>
          <c:yVal>
            <c:numLit>
              <c:formatCode>General</c:formatCode>
              <c:ptCount val="2"/>
              <c:pt idx="0">
                <c:v>1.5763655587379802E-2</c:v>
              </c:pt>
              <c:pt idx="1">
                <c:v>1.5858550753569105E-2</c:v>
              </c:pt>
            </c:numLit>
          </c:yVal>
          <c:smooth val="0"/>
          <c:extLst>
            <c:ext xmlns:c16="http://schemas.microsoft.com/office/drawing/2014/chart" uri="{C3380CC4-5D6E-409C-BE32-E72D297353CC}">
              <c16:uniqueId val="{00000077-E954-48F9-993C-11256A0BCA95}"/>
            </c:ext>
          </c:extLst>
        </c:ser>
        <c:ser>
          <c:idx val="120"/>
          <c:order val="120"/>
          <c:spPr>
            <a:ln w="3175">
              <a:solidFill>
                <a:srgbClr val="000000"/>
              </a:solidFill>
              <a:prstDash val="solid"/>
            </a:ln>
          </c:spPr>
          <c:marker>
            <c:symbol val="none"/>
          </c:marker>
          <c:xVal>
            <c:numLit>
              <c:formatCode>General</c:formatCode>
              <c:ptCount val="2"/>
              <c:pt idx="0">
                <c:v>-6.5647559845497225</c:v>
              </c:pt>
              <c:pt idx="1">
                <c:v>-6.3151746447814761</c:v>
              </c:pt>
            </c:numLit>
          </c:xVal>
          <c:yVal>
            <c:numLit>
              <c:formatCode>General</c:formatCode>
              <c:ptCount val="2"/>
              <c:pt idx="0">
                <c:v>1.5592706067580262E-2</c:v>
              </c:pt>
              <c:pt idx="1">
                <c:v>1.5690165476566559E-2</c:v>
              </c:pt>
            </c:numLit>
          </c:yVal>
          <c:smooth val="0"/>
          <c:extLst>
            <c:ext xmlns:c16="http://schemas.microsoft.com/office/drawing/2014/chart" uri="{C3380CC4-5D6E-409C-BE32-E72D297353CC}">
              <c16:uniqueId val="{00000078-E954-48F9-993C-11256A0BCA95}"/>
            </c:ext>
          </c:extLst>
        </c:ser>
        <c:ser>
          <c:idx val="121"/>
          <c:order val="121"/>
          <c:spPr>
            <a:ln w="3175">
              <a:solidFill>
                <a:srgbClr val="000000"/>
              </a:solidFill>
              <a:prstDash val="solid"/>
            </a:ln>
          </c:spPr>
          <c:marker>
            <c:symbol val="none"/>
          </c:marker>
          <c:xVal>
            <c:numLit>
              <c:formatCode>General</c:formatCode>
              <c:ptCount val="2"/>
              <c:pt idx="0">
                <c:v>-6.3576359216316405</c:v>
              </c:pt>
              <c:pt idx="1">
                <c:v>-6.1111613828071647</c:v>
              </c:pt>
            </c:numLit>
          </c:xVal>
          <c:yVal>
            <c:numLit>
              <c:formatCode>General</c:formatCode>
              <c:ptCount val="2"/>
              <c:pt idx="0">
                <c:v>1.541446542453016E-2</c:v>
              </c:pt>
              <c:pt idx="1">
                <c:v>1.5514598443162208E-2</c:v>
              </c:pt>
            </c:numLit>
          </c:yVal>
          <c:smooth val="0"/>
          <c:extLst>
            <c:ext xmlns:c16="http://schemas.microsoft.com/office/drawing/2014/chart" uri="{C3380CC4-5D6E-409C-BE32-E72D297353CC}">
              <c16:uniqueId val="{00000079-E954-48F9-993C-11256A0BCA95}"/>
            </c:ext>
          </c:extLst>
        </c:ser>
        <c:ser>
          <c:idx val="122"/>
          <c:order val="122"/>
          <c:spPr>
            <a:ln w="3175">
              <a:solidFill>
                <a:srgbClr val="000000"/>
              </a:solidFill>
              <a:prstDash val="solid"/>
            </a:ln>
          </c:spPr>
          <c:marker>
            <c:symbol val="none"/>
          </c:marker>
          <c:xVal>
            <c:numLit>
              <c:formatCode>General</c:formatCode>
              <c:ptCount val="2"/>
              <c:pt idx="0">
                <c:v>-6.132865664369616</c:v>
              </c:pt>
              <c:pt idx="1">
                <c:v>-5.6466596944385268</c:v>
              </c:pt>
            </c:numLit>
          </c:xVal>
          <c:yVal>
            <c:numLit>
              <c:formatCode>General</c:formatCode>
              <c:ptCount val="2"/>
              <c:pt idx="0">
                <c:v>1.5228695225080026E-2</c:v>
              </c:pt>
              <c:pt idx="1">
                <c:v>1.5434534368327627E-2</c:v>
              </c:pt>
            </c:numLit>
          </c:yVal>
          <c:smooth val="0"/>
          <c:extLst>
            <c:ext xmlns:c16="http://schemas.microsoft.com/office/drawing/2014/chart" uri="{C3380CC4-5D6E-409C-BE32-E72D297353CC}">
              <c16:uniqueId val="{0000007A-E954-48F9-993C-11256A0BCA95}"/>
            </c:ext>
          </c:extLst>
        </c:ser>
        <c:ser>
          <c:idx val="123"/>
          <c:order val="123"/>
          <c:spPr>
            <a:ln w="3175">
              <a:solidFill>
                <a:srgbClr val="000000"/>
              </a:solidFill>
              <a:prstDash val="solid"/>
            </a:ln>
          </c:spPr>
          <c:marker>
            <c:symbol val="none"/>
          </c:marker>
          <c:xVal>
            <c:numLit>
              <c:formatCode>General</c:formatCode>
              <c:ptCount val="2"/>
              <c:pt idx="0">
                <c:v>-5.8886667538625046</c:v>
              </c:pt>
              <c:pt idx="1">
                <c:v>-5.6492267525545667</c:v>
              </c:pt>
            </c:numLit>
          </c:xVal>
          <c:yVal>
            <c:numLit>
              <c:formatCode>General</c:formatCode>
              <c:ptCount val="2"/>
              <c:pt idx="0">
                <c:v>1.5035189103791482E-2</c:v>
              </c:pt>
              <c:pt idx="1">
                <c:v>1.5141011267234609E-2</c:v>
              </c:pt>
            </c:numLit>
          </c:yVal>
          <c:smooth val="0"/>
          <c:extLst>
            <c:ext xmlns:c16="http://schemas.microsoft.com/office/drawing/2014/chart" uri="{C3380CC4-5D6E-409C-BE32-E72D297353CC}">
              <c16:uniqueId val="{0000007B-E954-48F9-993C-11256A0BCA95}"/>
            </c:ext>
          </c:extLst>
        </c:ser>
        <c:ser>
          <c:idx val="124"/>
          <c:order val="124"/>
          <c:spPr>
            <a:ln w="3175">
              <a:solidFill>
                <a:srgbClr val="000000"/>
              </a:solidFill>
              <a:prstDash val="solid"/>
            </a:ln>
          </c:spPr>
          <c:marker>
            <c:symbol val="none"/>
          </c:marker>
          <c:xVal>
            <c:numLit>
              <c:formatCode>General</c:formatCode>
              <c:ptCount val="2"/>
              <c:pt idx="0">
                <c:v>-5.6230807206378355</c:v>
              </c:pt>
              <c:pt idx="1">
                <c:v>-5.3876245098282673</c:v>
              </c:pt>
            </c:numLit>
          </c:xVal>
          <c:yVal>
            <c:numLit>
              <c:formatCode>General</c:formatCode>
              <c:ptCount val="2"/>
              <c:pt idx="0">
                <c:v>1.4833785977207629E-2</c:v>
              </c:pt>
              <c:pt idx="1">
                <c:v>1.4942629187549515E-2</c:v>
              </c:pt>
            </c:numLit>
          </c:yVal>
          <c:smooth val="0"/>
          <c:extLst>
            <c:ext xmlns:c16="http://schemas.microsoft.com/office/drawing/2014/chart" uri="{C3380CC4-5D6E-409C-BE32-E72D297353CC}">
              <c16:uniqueId val="{0000007C-E954-48F9-993C-11256A0BCA95}"/>
            </c:ext>
          </c:extLst>
        </c:ser>
        <c:ser>
          <c:idx val="125"/>
          <c:order val="125"/>
          <c:spPr>
            <a:ln w="3175">
              <a:solidFill>
                <a:srgbClr val="000000"/>
              </a:solidFill>
              <a:prstDash val="solid"/>
            </a:ln>
          </c:spPr>
          <c:marker>
            <c:symbol val="none"/>
          </c:marker>
          <c:xVal>
            <c:numLit>
              <c:formatCode>General</c:formatCode>
              <c:ptCount val="2"/>
              <c:pt idx="0">
                <c:v>-5.3339578155190051</c:v>
              </c:pt>
              <c:pt idx="1">
                <c:v>-5.102838448286219</c:v>
              </c:pt>
            </c:numLit>
          </c:xVal>
          <c:yVal>
            <c:numLit>
              <c:formatCode>General</c:formatCode>
              <c:ptCount val="2"/>
              <c:pt idx="0">
                <c:v>1.4624386408887165E-2</c:v>
              </c:pt>
              <c:pt idx="1">
                <c:v>1.4736370612753858E-2</c:v>
              </c:pt>
            </c:numLit>
          </c:yVal>
          <c:smooth val="0"/>
          <c:extLst>
            <c:ext xmlns:c16="http://schemas.microsoft.com/office/drawing/2014/chart" uri="{C3380CC4-5D6E-409C-BE32-E72D297353CC}">
              <c16:uniqueId val="{0000007D-E954-48F9-993C-11256A0BCA95}"/>
            </c:ext>
          </c:extLst>
        </c:ser>
        <c:ser>
          <c:idx val="126"/>
          <c:order val="126"/>
          <c:spPr>
            <a:ln w="3175">
              <a:solidFill>
                <a:srgbClr val="000000"/>
              </a:solidFill>
              <a:prstDash val="solid"/>
            </a:ln>
          </c:spPr>
          <c:marker>
            <c:symbol val="none"/>
          </c:marker>
          <c:xVal>
            <c:numLit>
              <c:formatCode>General</c:formatCode>
              <c:ptCount val="2"/>
              <c:pt idx="0">
                <c:v>-5.0189482853256449</c:v>
              </c:pt>
              <c:pt idx="1">
                <c:v>-4.7925540610457595</c:v>
              </c:pt>
            </c:numLit>
          </c:xVal>
          <c:yVal>
            <c:numLit>
              <c:formatCode>General</c:formatCode>
              <c:ptCount val="2"/>
              <c:pt idx="0">
                <c:v>1.4406972647533905E-2</c:v>
              </c:pt>
              <c:pt idx="1">
                <c:v>1.4522218057820897E-2</c:v>
              </c:pt>
            </c:numLit>
          </c:yVal>
          <c:smooth val="0"/>
          <c:extLst>
            <c:ext xmlns:c16="http://schemas.microsoft.com/office/drawing/2014/chart" uri="{C3380CC4-5D6E-409C-BE32-E72D297353CC}">
              <c16:uniqueId val="{0000007E-E954-48F9-993C-11256A0BCA95}"/>
            </c:ext>
          </c:extLst>
        </c:ser>
        <c:ser>
          <c:idx val="127"/>
          <c:order val="127"/>
          <c:spPr>
            <a:ln w="3175">
              <a:solidFill>
                <a:srgbClr val="000000"/>
              </a:solidFill>
              <a:prstDash val="solid"/>
            </a:ln>
          </c:spPr>
          <c:marker>
            <c:symbol val="none"/>
          </c:marker>
          <c:xVal>
            <c:numLit>
              <c:formatCode>General</c:formatCode>
              <c:ptCount val="2"/>
              <c:pt idx="0">
                <c:v>-4.6754977799404145</c:v>
              </c:pt>
              <c:pt idx="1">
                <c:v>-4.2330128465422012</c:v>
              </c:pt>
            </c:numLit>
          </c:xVal>
          <c:yVal>
            <c:numLit>
              <c:formatCode>General</c:formatCode>
              <c:ptCount val="2"/>
              <c:pt idx="0">
                <c:v>1.4181632857939249E-2</c:v>
              </c:pt>
              <c:pt idx="1">
                <c:v>1.441888387220107E-2</c:v>
              </c:pt>
            </c:numLit>
          </c:yVal>
          <c:smooth val="0"/>
          <c:extLst>
            <c:ext xmlns:c16="http://schemas.microsoft.com/office/drawing/2014/chart" uri="{C3380CC4-5D6E-409C-BE32-E72D297353CC}">
              <c16:uniqueId val="{0000007F-E954-48F9-993C-11256A0BCA95}"/>
            </c:ext>
          </c:extLst>
        </c:ser>
        <c:ser>
          <c:idx val="128"/>
          <c:order val="128"/>
          <c:spPr>
            <a:ln w="3175">
              <a:solidFill>
                <a:srgbClr val="000000"/>
              </a:solidFill>
              <a:prstDash val="solid"/>
            </a:ln>
          </c:spPr>
          <c:marker>
            <c:symbol val="none"/>
          </c:marker>
          <c:xVal>
            <c:numLit>
              <c:formatCode>General</c:formatCode>
              <c:ptCount val="2"/>
              <c:pt idx="0">
                <c:v>-4.4922532168925837</c:v>
              </c:pt>
              <c:pt idx="1">
                <c:v>-4.2737594186391945</c:v>
              </c:pt>
            </c:numLit>
          </c:xVal>
          <c:yVal>
            <c:numLit>
              <c:formatCode>General</c:formatCode>
              <c:ptCount val="2"/>
              <c:pt idx="0">
                <c:v>1.4066054222777982E-2</c:v>
              </c:pt>
              <c:pt idx="1">
                <c:v>1.4186413409436313E-2</c:v>
              </c:pt>
            </c:numLit>
          </c:yVal>
          <c:smooth val="0"/>
          <c:extLst>
            <c:ext xmlns:c16="http://schemas.microsoft.com/office/drawing/2014/chart" uri="{C3380CC4-5D6E-409C-BE32-E72D297353CC}">
              <c16:uniqueId val="{00000080-E954-48F9-993C-11256A0BCA95}"/>
            </c:ext>
          </c:extLst>
        </c:ser>
        <c:ser>
          <c:idx val="129"/>
          <c:order val="129"/>
          <c:spPr>
            <a:ln w="3175">
              <a:solidFill>
                <a:srgbClr val="000000"/>
              </a:solidFill>
              <a:prstDash val="solid"/>
            </a:ln>
          </c:spPr>
          <c:marker>
            <c:symbol val="none"/>
          </c:marker>
          <c:xVal>
            <c:numLit>
              <c:formatCode>General</c:formatCode>
              <c:ptCount val="2"/>
              <c:pt idx="0">
                <c:v>-4.3008489927943669</c:v>
              </c:pt>
              <c:pt idx="1">
                <c:v>-3.869603523010535</c:v>
              </c:pt>
            </c:numLit>
          </c:xVal>
          <c:yVal>
            <c:numLit>
              <c:formatCode>General</c:formatCode>
              <c:ptCount val="2"/>
              <c:pt idx="0">
                <c:v>1.3948590006558157E-2</c:v>
              </c:pt>
              <c:pt idx="1">
                <c:v>1.4192832306361413E-2</c:v>
              </c:pt>
            </c:numLit>
          </c:yVal>
          <c:smooth val="0"/>
          <c:extLst>
            <c:ext xmlns:c16="http://schemas.microsoft.com/office/drawing/2014/chart" uri="{C3380CC4-5D6E-409C-BE32-E72D297353CC}">
              <c16:uniqueId val="{00000081-E954-48F9-993C-11256A0BCA95}"/>
            </c:ext>
          </c:extLst>
        </c:ser>
        <c:ser>
          <c:idx val="130"/>
          <c:order val="130"/>
          <c:spPr>
            <a:ln w="3175">
              <a:solidFill>
                <a:srgbClr val="000000"/>
              </a:solidFill>
              <a:prstDash val="solid"/>
            </a:ln>
          </c:spPr>
          <c:marker>
            <c:symbol val="none"/>
          </c:marker>
          <c:xVal>
            <c:numLit>
              <c:formatCode>General</c:formatCode>
              <c:ptCount val="2"/>
              <c:pt idx="0">
                <c:v>-4.1009104580460107</c:v>
              </c:pt>
              <c:pt idx="1">
                <c:v>-3.8882868011753202</c:v>
              </c:pt>
            </c:numLit>
          </c:xVal>
          <c:yVal>
            <c:numLit>
              <c:formatCode>General</c:formatCode>
              <c:ptCount val="2"/>
              <c:pt idx="0">
                <c:v>1.3829294697843704E-2</c:v>
              </c:pt>
              <c:pt idx="1">
                <c:v>1.3953205277376047E-2</c:v>
              </c:pt>
            </c:numLit>
          </c:yVal>
          <c:smooth val="0"/>
          <c:extLst>
            <c:ext xmlns:c16="http://schemas.microsoft.com/office/drawing/2014/chart" uri="{C3380CC4-5D6E-409C-BE32-E72D297353CC}">
              <c16:uniqueId val="{00000082-E954-48F9-993C-11256A0BCA95}"/>
            </c:ext>
          </c:extLst>
        </c:ser>
        <c:ser>
          <c:idx val="131"/>
          <c:order val="131"/>
          <c:spPr>
            <a:ln w="3175">
              <a:solidFill>
                <a:srgbClr val="000000"/>
              </a:solidFill>
              <a:prstDash val="solid"/>
            </a:ln>
          </c:spPr>
          <c:marker>
            <c:symbol val="none"/>
          </c:marker>
          <c:xVal>
            <c:numLit>
              <c:formatCode>General</c:formatCode>
              <c:ptCount val="2"/>
              <c:pt idx="0">
                <c:v>-3.8920522444116665</c:v>
              </c:pt>
              <c:pt idx="1">
                <c:v>-3.4730706770793156</c:v>
              </c:pt>
            </c:numLit>
          </c:xVal>
          <c:yVal>
            <c:numLit>
              <c:formatCode>General</c:formatCode>
              <c:ptCount val="2"/>
              <c:pt idx="0">
                <c:v>1.3708235719301449E-2</c:v>
              </c:pt>
              <c:pt idx="1">
                <c:v>1.3959688647722405E-2</c:v>
              </c:pt>
            </c:numLit>
          </c:yVal>
          <c:smooth val="0"/>
          <c:extLst>
            <c:ext xmlns:c16="http://schemas.microsoft.com/office/drawing/2014/chart" uri="{C3380CC4-5D6E-409C-BE32-E72D297353CC}">
              <c16:uniqueId val="{00000083-E954-48F9-993C-11256A0BCA95}"/>
            </c:ext>
          </c:extLst>
        </c:ser>
        <c:ser>
          <c:idx val="132"/>
          <c:order val="132"/>
          <c:spPr>
            <a:ln w="3175">
              <a:solidFill>
                <a:srgbClr val="000000"/>
              </a:solidFill>
              <a:prstDash val="solid"/>
            </a:ln>
          </c:spPr>
          <c:marker>
            <c:symbol val="none"/>
          </c:marker>
          <c:xVal>
            <c:numLit>
              <c:formatCode>General</c:formatCode>
              <c:ptCount val="2"/>
              <c:pt idx="0">
                <c:v>-3.6738793302210069</c:v>
              </c:pt>
              <c:pt idx="1">
                <c:v>-3.4676611402676913</c:v>
              </c:pt>
            </c:numLit>
          </c:xVal>
          <c:yVal>
            <c:numLit>
              <c:formatCode>General</c:formatCode>
              <c:ptCount val="2"/>
              <c:pt idx="0">
                <c:v>1.3585494757106985E-2</c:v>
              </c:pt>
              <c:pt idx="1">
                <c:v>1.371306233575038E-2</c:v>
              </c:pt>
            </c:numLit>
          </c:yVal>
          <c:smooth val="0"/>
          <c:extLst>
            <c:ext xmlns:c16="http://schemas.microsoft.com/office/drawing/2014/chart" uri="{C3380CC4-5D6E-409C-BE32-E72D297353CC}">
              <c16:uniqueId val="{00000084-E954-48F9-993C-11256A0BCA95}"/>
            </c:ext>
          </c:extLst>
        </c:ser>
        <c:ser>
          <c:idx val="133"/>
          <c:order val="133"/>
          <c:spPr>
            <a:ln w="3175">
              <a:solidFill>
                <a:srgbClr val="000000"/>
              </a:solidFill>
              <a:prstDash val="solid"/>
            </a:ln>
          </c:spPr>
          <c:marker>
            <c:symbol val="none"/>
          </c:marker>
          <c:xVal>
            <c:numLit>
              <c:formatCode>General</c:formatCode>
              <c:ptCount val="2"/>
              <c:pt idx="0">
                <c:v>-3.4459883959934121</c:v>
              </c:pt>
              <c:pt idx="1">
                <c:v>-3.0403887441136086</c:v>
              </c:pt>
            </c:numLit>
          </c:xVal>
          <c:yVal>
            <c:numLit>
              <c:formatCode>General</c:formatCode>
              <c:ptCount val="2"/>
              <c:pt idx="0">
                <c:v>1.346116915801567E-2</c:v>
              </c:pt>
              <c:pt idx="1">
                <c:v>1.37200340832752E-2</c:v>
              </c:pt>
            </c:numLit>
          </c:yVal>
          <c:smooth val="0"/>
          <c:extLst>
            <c:ext xmlns:c16="http://schemas.microsoft.com/office/drawing/2014/chart" uri="{C3380CC4-5D6E-409C-BE32-E72D297353CC}">
              <c16:uniqueId val="{00000085-E954-48F9-993C-11256A0BCA95}"/>
            </c:ext>
          </c:extLst>
        </c:ser>
        <c:ser>
          <c:idx val="134"/>
          <c:order val="134"/>
          <c:spPr>
            <a:ln w="3175">
              <a:solidFill>
                <a:srgbClr val="000000"/>
              </a:solidFill>
              <a:prstDash val="solid"/>
            </a:ln>
          </c:spPr>
          <c:marker>
            <c:symbol val="none"/>
          </c:marker>
          <c:xVal>
            <c:numLit>
              <c:formatCode>General</c:formatCode>
              <c:ptCount val="2"/>
              <c:pt idx="0">
                <c:v>-3.2079695085477753</c:v>
              </c:pt>
              <c:pt idx="1">
                <c:v>-3.0087399659195584</c:v>
              </c:pt>
            </c:numLit>
          </c:xVal>
          <c:yVal>
            <c:numLit>
              <c:formatCode>General</c:formatCode>
              <c:ptCount val="2"/>
              <c:pt idx="0">
                <c:v>1.3335373384527295E-2</c:v>
              </c:pt>
              <c:pt idx="1">
                <c:v>1.3466692783759386E-2</c:v>
              </c:pt>
            </c:numLit>
          </c:yVal>
          <c:smooth val="0"/>
          <c:extLst>
            <c:ext xmlns:c16="http://schemas.microsoft.com/office/drawing/2014/chart" uri="{C3380CC4-5D6E-409C-BE32-E72D297353CC}">
              <c16:uniqueId val="{00000086-E954-48F9-993C-11256A0BCA95}"/>
            </c:ext>
          </c:extLst>
        </c:ser>
        <c:ser>
          <c:idx val="135"/>
          <c:order val="135"/>
          <c:spPr>
            <a:ln w="3175">
              <a:solidFill>
                <a:srgbClr val="000000"/>
              </a:solidFill>
              <a:prstDash val="solid"/>
            </a:ln>
          </c:spPr>
          <c:marker>
            <c:symbol val="none"/>
          </c:marker>
          <c:xVal>
            <c:numLit>
              <c:formatCode>General</c:formatCode>
              <c:ptCount val="2"/>
              <c:pt idx="0">
                <c:v>-2.9594081732909436</c:v>
              </c:pt>
              <c:pt idx="1">
                <c:v>-2.5684059280922145</c:v>
              </c:pt>
            </c:numLit>
          </c:xVal>
          <c:yVal>
            <c:numLit>
              <c:formatCode>General</c:formatCode>
              <c:ptCount val="2"/>
              <c:pt idx="0">
                <c:v>1.320824051486838E-2</c:v>
              </c:pt>
              <c:pt idx="1">
                <c:v>1.347469329942233E-2</c:v>
              </c:pt>
            </c:numLit>
          </c:yVal>
          <c:smooth val="0"/>
          <c:extLst>
            <c:ext xmlns:c16="http://schemas.microsoft.com/office/drawing/2014/chart" uri="{C3380CC4-5D6E-409C-BE32-E72D297353CC}">
              <c16:uniqueId val="{00000087-E954-48F9-993C-11256A0BCA95}"/>
            </c:ext>
          </c:extLst>
        </c:ser>
        <c:ser>
          <c:idx val="136"/>
          <c:order val="136"/>
          <c:spPr>
            <a:ln w="3175">
              <a:solidFill>
                <a:srgbClr val="000000"/>
              </a:solidFill>
              <a:prstDash val="solid"/>
            </a:ln>
          </c:spPr>
          <c:marker>
            <c:symbol val="none"/>
          </c:marker>
          <c:xVal>
            <c:numLit>
              <c:formatCode>General</c:formatCode>
              <c:ptCount val="2"/>
              <c:pt idx="0">
                <c:v>-2.6998877952192855</c:v>
              </c:pt>
              <c:pt idx="1">
                <c:v>-2.5082794782909956</c:v>
              </c:pt>
            </c:numLit>
          </c:xVal>
          <c:yVal>
            <c:numLit>
              <c:formatCode>General</c:formatCode>
              <c:ptCount val="2"/>
              <c:pt idx="0">
                <c:v>1.3079923770199547E-2</c:v>
              </c:pt>
              <c:pt idx="1">
                <c:v>1.3215074913646553E-2</c:v>
              </c:pt>
            </c:numLit>
          </c:yVal>
          <c:smooth val="0"/>
          <c:extLst>
            <c:ext xmlns:c16="http://schemas.microsoft.com/office/drawing/2014/chart" uri="{C3380CC4-5D6E-409C-BE32-E72D297353CC}">
              <c16:uniqueId val="{00000088-E954-48F9-993C-11256A0BCA95}"/>
            </c:ext>
          </c:extLst>
        </c:ser>
        <c:ser>
          <c:idx val="137"/>
          <c:order val="137"/>
          <c:spPr>
            <a:ln w="3175">
              <a:solidFill>
                <a:srgbClr val="000000"/>
              </a:solidFill>
              <a:prstDash val="solid"/>
            </a:ln>
          </c:spPr>
          <c:marker>
            <c:symbol val="none"/>
          </c:marker>
          <c:xVal>
            <c:numLit>
              <c:formatCode>General</c:formatCode>
              <c:ptCount val="2"/>
              <c:pt idx="0">
                <c:v>-2.428992588934856</c:v>
              </c:pt>
              <c:pt idx="1">
                <c:v>-2.0539028112668096</c:v>
              </c:pt>
            </c:numLit>
          </c:xVal>
          <c:yVal>
            <c:numLit>
              <c:formatCode>General</c:formatCode>
              <c:ptCount val="2"/>
              <c:pt idx="0">
                <c:v>1.2950598046511897E-2</c:v>
              </c:pt>
              <c:pt idx="1">
                <c:v>1.3224780105116542E-2</c:v>
              </c:pt>
            </c:numLit>
          </c:yVal>
          <c:smooth val="0"/>
          <c:extLst>
            <c:ext xmlns:c16="http://schemas.microsoft.com/office/drawing/2014/chart" uri="{C3380CC4-5D6E-409C-BE32-E72D297353CC}">
              <c16:uniqueId val="{00000089-E954-48F9-993C-11256A0BCA95}"/>
            </c:ext>
          </c:extLst>
        </c:ser>
        <c:ser>
          <c:idx val="138"/>
          <c:order val="138"/>
          <c:spPr>
            <a:ln w="3175">
              <a:solidFill>
                <a:srgbClr val="000000"/>
              </a:solidFill>
              <a:prstDash val="solid"/>
            </a:ln>
          </c:spPr>
          <c:marker>
            <c:symbol val="none"/>
          </c:marker>
          <c:xVal>
            <c:numLit>
              <c:formatCode>General</c:formatCode>
              <c:ptCount val="2"/>
              <c:pt idx="0">
                <c:v>-2.1463109763435382</c:v>
              </c:pt>
              <c:pt idx="1">
                <c:v>-1.9630063116983847</c:v>
              </c:pt>
            </c:numLit>
          </c:xVal>
          <c:yVal>
            <c:numLit>
              <c:formatCode>General</c:formatCode>
              <c:ptCount val="2"/>
              <c:pt idx="0">
                <c:v>1.2820461423119791E-2</c:v>
              </c:pt>
              <c:pt idx="1">
                <c:v>1.2959504501772995E-2</c:v>
              </c:pt>
            </c:numLit>
          </c:yVal>
          <c:smooth val="0"/>
          <c:extLst>
            <c:ext xmlns:c16="http://schemas.microsoft.com/office/drawing/2014/chart" uri="{C3380CC4-5D6E-409C-BE32-E72D297353CC}">
              <c16:uniqueId val="{0000008A-E954-48F9-993C-11256A0BCA95}"/>
            </c:ext>
          </c:extLst>
        </c:ser>
        <c:ser>
          <c:idx val="139"/>
          <c:order val="139"/>
          <c:spPr>
            <a:ln w="3175">
              <a:solidFill>
                <a:srgbClr val="000000"/>
              </a:solidFill>
              <a:prstDash val="solid"/>
            </a:ln>
          </c:spPr>
          <c:marker>
            <c:symbol val="none"/>
          </c:marker>
          <c:xVal>
            <c:numLit>
              <c:formatCode>General</c:formatCode>
              <c:ptCount val="2"/>
              <c:pt idx="0">
                <c:v>-1.8514395072948018</c:v>
              </c:pt>
              <c:pt idx="1">
                <c:v>-1.4936763220759568</c:v>
              </c:pt>
            </c:numLit>
          </c:xVal>
          <c:yVal>
            <c:numLit>
              <c:formatCode>General</c:formatCode>
              <c:ptCount val="2"/>
              <c:pt idx="0">
                <c:v>1.2689736613537754E-2</c:v>
              </c:pt>
              <c:pt idx="1">
                <c:v>1.2971744515131622E-2</c:v>
              </c:pt>
            </c:numLit>
          </c:yVal>
          <c:smooth val="0"/>
          <c:extLst>
            <c:ext xmlns:c16="http://schemas.microsoft.com/office/drawing/2014/chart" uri="{C3380CC4-5D6E-409C-BE32-E72D297353CC}">
              <c16:uniqueId val="{0000008B-E954-48F9-993C-11256A0BCA95}"/>
            </c:ext>
          </c:extLst>
        </c:ser>
        <c:ser>
          <c:idx val="140"/>
          <c:order val="140"/>
          <c:spPr>
            <a:ln w="3175">
              <a:solidFill>
                <a:srgbClr val="000000"/>
              </a:solidFill>
              <a:prstDash val="solid"/>
            </a:ln>
          </c:spPr>
          <c:marker>
            <c:symbol val="none"/>
          </c:marker>
          <c:xVal>
            <c:numLit>
              <c:formatCode>General</c:formatCode>
              <c:ptCount val="2"/>
              <c:pt idx="0">
                <c:v>-1.5439873328419971</c:v>
              </c:pt>
              <c:pt idx="1">
                <c:v>-1.3697175228493668</c:v>
              </c:pt>
            </c:numLit>
          </c:xVal>
          <c:yVal>
            <c:numLit>
              <c:formatCode>General</c:formatCode>
              <c:ptCount val="2"/>
              <c:pt idx="0">
                <c:v>1.2558672317948329E-2</c:v>
              </c:pt>
              <c:pt idx="1">
                <c:v>1.2701642233179104E-2</c:v>
              </c:pt>
            </c:numLit>
          </c:yVal>
          <c:smooth val="0"/>
          <c:extLst>
            <c:ext xmlns:c16="http://schemas.microsoft.com/office/drawing/2014/chart" uri="{C3380CC4-5D6E-409C-BE32-E72D297353CC}">
              <c16:uniqueId val="{0000008C-E954-48F9-993C-11256A0BCA95}"/>
            </c:ext>
          </c:extLst>
        </c:ser>
        <c:ser>
          <c:idx val="141"/>
          <c:order val="141"/>
          <c:spPr>
            <a:ln w="3175">
              <a:solidFill>
                <a:srgbClr val="000000"/>
              </a:solidFill>
              <a:prstDash val="solid"/>
            </a:ln>
          </c:spPr>
          <c:marker>
            <c:symbol val="none"/>
          </c:marker>
          <c:xVal>
            <c:numLit>
              <c:formatCode>General</c:formatCode>
              <c:ptCount val="2"/>
              <c:pt idx="0">
                <c:v>-1.2235812526277599</c:v>
              </c:pt>
              <c:pt idx="1">
                <c:v>-0.88465381504892626</c:v>
              </c:pt>
            </c:numLit>
          </c:xVal>
          <c:yVal>
            <c:numLit>
              <c:formatCode>General</c:formatCode>
              <c:ptCount val="2"/>
              <c:pt idx="0">
                <c:v>1.2427544429586192E-2</c:v>
              </c:pt>
              <c:pt idx="1">
                <c:v>1.2717418096698605E-2</c:v>
              </c:pt>
            </c:numLit>
          </c:yVal>
          <c:smooth val="0"/>
          <c:extLst>
            <c:ext xmlns:c16="http://schemas.microsoft.com/office/drawing/2014/chart" uri="{C3380CC4-5D6E-409C-BE32-E72D297353CC}">
              <c16:uniqueId val="{0000008D-E954-48F9-993C-11256A0BCA95}"/>
            </c:ext>
          </c:extLst>
        </c:ser>
        <c:ser>
          <c:idx val="142"/>
          <c:order val="142"/>
          <c:spPr>
            <a:ln w="3175">
              <a:solidFill>
                <a:srgbClr val="000000"/>
              </a:solidFill>
              <a:prstDash val="solid"/>
            </a:ln>
          </c:spPr>
          <c:marker>
            <c:symbol val="none"/>
          </c:marker>
          <c:xVal>
            <c:numLit>
              <c:formatCode>General</c:formatCode>
              <c:ptCount val="141"/>
              <c:pt idx="0">
                <c:v>21.371581252627763</c:v>
              </c:pt>
              <c:pt idx="1">
                <c:v>21.037871346719125</c:v>
              </c:pt>
              <c:pt idx="2">
                <c:v>20.690537187655689</c:v>
              </c:pt>
              <c:pt idx="3">
                <c:v>20.329294610239611</c:v>
              </c:pt>
              <c:pt idx="4">
                <c:v>19.953902994524441</c:v>
              </c:pt>
              <c:pt idx="5">
                <c:v>19.564172991587299</c:v>
              </c:pt>
              <c:pt idx="6">
                <c:v>19.159974592290119</c:v>
              </c:pt>
              <c:pt idx="7">
                <c:v>18.741245406977605</c:v>
              </c:pt>
              <c:pt idx="8">
                <c:v>18.307998989942451</c:v>
              </c:pt>
              <c:pt idx="9">
                <c:v>17.860333007968713</c:v>
              </c:pt>
              <c:pt idx="10">
                <c:v>17.398437019253645</c:v>
              </c:pt>
              <c:pt idx="11">
                <c:v>16.922599599843867</c:v>
              </c:pt>
              <c:pt idx="12">
                <c:v>16.433214532085501</c:v>
              </c:pt>
              <c:pt idx="13">
                <c:v>15.930785756359489</c:v>
              </c:pt>
              <c:pt idx="14">
                <c:v>15.415930786412972</c:v>
              </c:pt>
              <c:pt idx="15">
                <c:v>14.88938230247139</c:v>
              </c:pt>
              <c:pt idx="16">
                <c:v>14.351987666971201</c:v>
              </c:pt>
              <c:pt idx="17">
                <c:v>13.804706156184448</c:v>
              </c:pt>
              <c:pt idx="18">
                <c:v>13.248603766949927</c:v>
              </c:pt>
              <c:pt idx="19">
                <c:v>12.684845539431716</c:v>
              </c:pt>
              <c:pt idx="20">
                <c:v>12.114685430962217</c:v>
              </c:pt>
              <c:pt idx="21">
                <c:v>11.539453877756367</c:v>
              </c:pt>
              <c:pt idx="22">
                <c:v>10.960543284530706</c:v>
              </c:pt>
              <c:pt idx="23">
                <c:v>10.379391779974689</c:v>
              </c:pt>
              <c:pt idx="24">
                <c:v>9.7974656615855071</c:v>
              </c:pt>
              <c:pt idx="25">
                <c:v>9.2162410201077183</c:v>
              </c:pt>
              <c:pt idx="26">
                <c:v>8.6371850764557383</c:v>
              </c:pt>
              <c:pt idx="27">
                <c:v>8.0617377790935691</c:v>
              </c:pt>
              <c:pt idx="28">
                <c:v>7.4912941961672548</c:v>
              </c:pt>
              <c:pt idx="29">
                <c:v>6.9271881953506291</c:v>
              </c:pt>
              <c:pt idx="30">
                <c:v>6.3706778387186072</c:v>
              </c:pt>
              <c:pt idx="31">
                <c:v>5.8229328351873759</c:v>
              </c:pt>
              <c:pt idx="32">
                <c:v>5.2850242955956563</c:v>
              </c:pt>
              <c:pt idx="33">
                <c:v>4.757916932353166</c:v>
              </c:pt>
              <c:pt idx="34">
                <c:v>4.2424637436261801</c:v>
              </c:pt>
              <c:pt idx="35">
                <c:v>3.739403127391058</c:v>
              </c:pt>
              <c:pt idx="36">
                <c:v>3.2493582882727892</c:v>
              </c:pt>
              <c:pt idx="37">
                <c:v>2.7728387333059592</c:v>
              </c:pt>
              <c:pt idx="38">
                <c:v>2.3102436034379128</c:v>
              </c:pt>
              <c:pt idx="39">
                <c:v>1.8618665560711247</c:v>
              </c:pt>
              <c:pt idx="40">
                <c:v>1.427901899275156</c:v>
              </c:pt>
              <c:pt idx="41">
                <c:v>1.008451678579674</c:v>
              </c:pt>
              <c:pt idx="42">
                <c:v>0.60353342994618275</c:v>
              </c:pt>
              <c:pt idx="43">
                <c:v>0.21308833475468658</c:v>
              </c:pt>
              <c:pt idx="44">
                <c:v>-0.16301045845285778</c:v>
              </c:pt>
              <c:pt idx="45">
                <c:v>-0.52494954785162173</c:v>
              </c:pt>
              <c:pt idx="46">
                <c:v>-0.87296719572192183</c:v>
              </c:pt>
              <c:pt idx="47">
                <c:v>-1.2073455830568078</c:v>
              </c:pt>
              <c:pt idx="48">
                <c:v>-1.5284035027225737</c:v>
              </c:pt>
              <c:pt idx="49">
                <c:v>-1.8364895629659759</c:v>
              </c:pt>
              <c:pt idx="50">
                <c:v>-2.1319759470058717</c:v>
              </c:pt>
              <c:pt idx="51">
                <c:v>-2.4152527521845344</c:v>
              </c:pt>
              <c:pt idx="52">
                <c:v>-2.6867229137309887</c:v>
              </c:pt>
              <c:pt idx="53">
                <c:v>-2.9467977034514901</c:v>
              </c:pt>
              <c:pt idx="54">
                <c:v>-3.1958927823230363</c:v>
              </c:pt>
              <c:pt idx="55">
                <c:v>-3.434424777651842</c:v>
              </c:pt>
              <c:pt idx="56">
                <c:v>-3.6628083497591089</c:v>
              </c:pt>
              <c:pt idx="57">
                <c:v>-4.0907645474166401</c:v>
              </c:pt>
              <c:pt idx="58">
                <c:v>-4.4829549342068002</c:v>
              </c:pt>
              <c:pt idx="59">
                <c:v>-4.84242191575568</c:v>
              </c:pt>
              <c:pt idx="60">
                <c:v>-5.172025769604903</c:v>
              </c:pt>
              <c:pt idx="61">
                <c:v>-5.4744280576792939</c:v>
              </c:pt>
              <c:pt idx="62">
                <c:v>-5.7520856720993354</c:v>
              </c:pt>
              <c:pt idx="63">
                <c:v>-6.007252455425677</c:v>
              </c:pt>
              <c:pt idx="64">
                <c:v>-6.2419859850611479</c:v>
              </c:pt>
              <c:pt idx="65">
                <c:v>-6.4581576767384705</c:v>
              </c:pt>
              <c:pt idx="66">
                <c:v>-6.6574648318657363</c:v>
              </c:pt>
              <c:pt idx="67">
                <c:v>-6.8414436306071789</c:v>
              </c:pt>
              <c:pt idx="68">
                <c:v>-7.0114823669202533</c:v>
              </c:pt>
              <c:pt idx="69">
                <c:v>-7.1688344461684759</c:v>
              </c:pt>
              <c:pt idx="70">
                <c:v>-7.3146308334249364</c:v>
              </c:pt>
              <c:pt idx="71">
                <c:v>-7.4498917630910348</c:v>
              </c:pt>
              <c:pt idx="72">
                <c:v>-7.5755376082004524</c:v>
              </c:pt>
              <c:pt idx="73">
                <c:v>-7.6923988691653786</c:v>
              </c:pt>
              <c:pt idx="74">
                <c:v>-7.8012252834601368</c:v>
              </c:pt>
              <c:pt idx="75">
                <c:v>-7.9026940850573961</c:v>
              </c:pt>
              <c:pt idx="76">
                <c:v>-7.9974174593411815</c:v>
              </c:pt>
              <c:pt idx="77">
                <c:v>-8.1687909686905282</c:v>
              </c:pt>
              <c:pt idx="78">
                <c:v>-8.3191803778089461</c:v>
              </c:pt>
              <c:pt idx="79">
                <c:v>-8.4517421631165437</c:v>
              </c:pt>
              <c:pt idx="80">
                <c:v>-8.5690858297303354</c:v>
              </c:pt>
              <c:pt idx="81">
                <c:v>-8.673378407042021</c:v>
              </c:pt>
              <c:pt idx="82">
                <c:v>-8.8881681230515355</c:v>
              </c:pt>
              <c:pt idx="83">
                <c:v>-9.0531484334052497</c:v>
              </c:pt>
              <c:pt idx="84">
                <c:v>-9.2852441751086943</c:v>
              </c:pt>
              <c:pt idx="85">
                <c:v>-9.4366033414701871</c:v>
              </c:pt>
              <c:pt idx="86">
                <c:v>-9.493110951018668</c:v>
              </c:pt>
              <c:pt idx="87">
                <c:v>-9.7432697699743329</c:v>
              </c:pt>
              <c:pt idx="88">
                <c:v>-9.8316174242377894</c:v>
              </c:pt>
              <c:pt idx="89">
                <c:v>-9.8685661086529635</c:v>
              </c:pt>
              <c:pt idx="90">
                <c:v>-9.8983177574236123</c:v>
              </c:pt>
              <c:pt idx="91">
                <c:v>-9.909769224978497</c:v>
              </c:pt>
              <c:pt idx="92">
                <c:v>-9.9260000000000002</c:v>
              </c:pt>
              <c:pt idx="93">
                <c:v>-9.9048994991538031</c:v>
              </c:pt>
              <c:pt idx="94">
                <c:v>-9.88672255050116</c:v>
              </c:pt>
              <c:pt idx="95">
                <c:v>-9.8289290466534833</c:v>
              </c:pt>
              <c:pt idx="96">
                <c:v>-9.735992486381873</c:v>
              </c:pt>
              <c:pt idx="97">
                <c:v>-9.7017046575042745</c:v>
              </c:pt>
              <c:pt idx="98">
                <c:v>-9.6572984022501149</c:v>
              </c:pt>
              <c:pt idx="99">
                <c:v>-9.5984025100640622</c:v>
              </c:pt>
              <c:pt idx="100">
                <c:v>-9.5180333290136545</c:v>
              </c:pt>
              <c:pt idx="101">
                <c:v>-9.4045026779685195</c:v>
              </c:pt>
              <c:pt idx="102">
                <c:v>-9.237122536407238</c:v>
              </c:pt>
              <c:pt idx="103">
                <c:v>-9.1221804875373262</c:v>
              </c:pt>
              <c:pt idx="104">
                <c:v>-8.9766919289022642</c:v>
              </c:pt>
              <c:pt idx="105">
                <c:v>-8.789176816642799</c:v>
              </c:pt>
              <c:pt idx="106">
                <c:v>-8.5424615585442059</c:v>
              </c:pt>
              <c:pt idx="107">
                <c:v>-8.4217133635342307</c:v>
              </c:pt>
              <c:pt idx="108">
                <c:v>-8.2851706266474139</c:v>
              </c:pt>
              <c:pt idx="109">
                <c:v>-8.1301042449405116</c:v>
              </c:pt>
              <c:pt idx="110">
                <c:v>-7.9532096255905085</c:v>
              </c:pt>
              <c:pt idx="111">
                <c:v>-7.7504683323859727</c:v>
              </c:pt>
              <c:pt idx="112">
                <c:v>-7.63791246721836</c:v>
              </c:pt>
              <c:pt idx="113">
                <c:v>-7.5169750078102524</c:v>
              </c:pt>
              <c:pt idx="114">
                <c:v>-7.386868919246691</c:v>
              </c:pt>
              <c:pt idx="115">
                <c:v>-7.2467221830383197</c:v>
              </c:pt>
              <c:pt idx="116">
                <c:v>-7.0955682719094346</c:v>
              </c:pt>
              <c:pt idx="117">
                <c:v>-6.932335740628929</c:v>
              </c:pt>
              <c:pt idx="118">
                <c:v>-6.7558369491358592</c:v>
              </c:pt>
              <c:pt idx="119">
                <c:v>-6.5647559845497225</c:v>
              </c:pt>
              <c:pt idx="120">
                <c:v>-6.3576359216316405</c:v>
              </c:pt>
              <c:pt idx="121">
                <c:v>-6.132865664369616</c:v>
              </c:pt>
              <c:pt idx="122">
                <c:v>-5.8886667538625046</c:v>
              </c:pt>
              <c:pt idx="123">
                <c:v>-5.6230807206378355</c:v>
              </c:pt>
              <c:pt idx="124">
                <c:v>-5.3339578155190051</c:v>
              </c:pt>
              <c:pt idx="125">
                <c:v>-5.0189482853256449</c:v>
              </c:pt>
              <c:pt idx="126">
                <c:v>-4.6754977799404145</c:v>
              </c:pt>
              <c:pt idx="127">
                <c:v>-4.4922532168925837</c:v>
              </c:pt>
              <c:pt idx="128">
                <c:v>-4.3008489927943669</c:v>
              </c:pt>
              <c:pt idx="129">
                <c:v>-4.1009104580460107</c:v>
              </c:pt>
              <c:pt idx="130">
                <c:v>-3.8920522444116665</c:v>
              </c:pt>
              <c:pt idx="131">
                <c:v>-3.6738793302210069</c:v>
              </c:pt>
              <c:pt idx="132">
                <c:v>-3.4459883959934121</c:v>
              </c:pt>
              <c:pt idx="133">
                <c:v>-3.2079695085477753</c:v>
              </c:pt>
              <c:pt idx="134">
                <c:v>-2.9594081732909436</c:v>
              </c:pt>
              <c:pt idx="135">
                <c:v>-2.6998877952192855</c:v>
              </c:pt>
              <c:pt idx="136">
                <c:v>-2.428992588934856</c:v>
              </c:pt>
              <c:pt idx="137">
                <c:v>-2.1463109763435382</c:v>
              </c:pt>
              <c:pt idx="138">
                <c:v>-1.8514395072948018</c:v>
              </c:pt>
              <c:pt idx="139">
                <c:v>-1.5439873328419971</c:v>
              </c:pt>
              <c:pt idx="140">
                <c:v>-1.2235812526277599</c:v>
              </c:pt>
            </c:numLit>
          </c:xVal>
          <c:yVal>
            <c:numLit>
              <c:formatCode>General</c:formatCode>
              <c:ptCount val="141"/>
              <c:pt idx="0">
                <c:v>3.1752455570413805E-2</c:v>
              </c:pt>
              <c:pt idx="1">
                <c:v>3.1883342959581833E-2</c:v>
              </c:pt>
              <c:pt idx="2">
                <c:v>3.201365681519143E-2</c:v>
              </c:pt>
              <c:pt idx="3">
                <c:v>3.2143034746161765E-2</c:v>
              </c:pt>
              <c:pt idx="4">
                <c:v>3.227108499189911E-2</c:v>
              </c:pt>
              <c:pt idx="5">
                <c:v>3.2397386886267948E-2</c:v>
              </c:pt>
              <c:pt idx="6">
                <c:v>3.2521491874194126E-2</c:v>
              </c:pt>
              <c:pt idx="7">
                <c:v>3.2642925154216053E-2</c:v>
              </c:pt>
              <c:pt idx="8">
                <c:v>3.2761188013864406E-2</c:v>
              </c:pt>
              <c:pt idx="9">
                <c:v>3.2875760913770279E-2</c:v>
              </c:pt>
              <c:pt idx="10">
                <c:v>3.2986107360359007E-2</c:v>
              </c:pt>
              <c:pt idx="11">
                <c:v>3.3091678585594878E-2</c:v>
              </c:pt>
              <c:pt idx="12">
                <c:v>3.3191919025541465E-2</c:v>
              </c:pt>
              <c:pt idx="13">
                <c:v>3.3286272557953876E-2</c:v>
              </c:pt>
              <c:pt idx="14">
                <c:v>3.3374189423675982E-2</c:v>
              </c:pt>
              <c:pt idx="15">
                <c:v>3.3455133718764594E-2</c:v>
              </c:pt>
              <c:pt idx="16">
                <c:v>3.3528591306009554E-2</c:v>
              </c:pt>
              <c:pt idx="17">
                <c:v>3.3594077958317668E-2</c:v>
              </c:pt>
              <c:pt idx="18">
                <c:v>3.3651147515029074E-2</c:v>
              </c:pt>
              <c:pt idx="19">
                <c:v>3.3699399808470261E-2</c:v>
              </c:pt>
              <c:pt idx="20">
                <c:v>3.3738488104561926E-2</c:v>
              </c:pt>
              <c:pt idx="21">
                <c:v>3.3768125800244846E-2</c:v>
              </c:pt>
              <c:pt idx="22">
                <c:v>3.3788092133235761E-2</c:v>
              </c:pt>
              <c:pt idx="23">
                <c:v>3.3798236686529787E-2</c:v>
              </c:pt>
              <c:pt idx="24">
                <c:v>3.3798482510310618E-2</c:v>
              </c:pt>
              <c:pt idx="25">
                <c:v>3.3788827735515635E-2</c:v>
              </c:pt>
              <c:pt idx="26">
                <c:v>3.3769345613166808E-2</c:v>
              </c:pt>
              <c:pt idx="27">
                <c:v>3.3740182977853764E-2</c:v>
              </c:pt>
              <c:pt idx="28">
                <c:v>3.3701557198139706E-2</c:v>
              </c:pt>
              <c:pt idx="29">
                <c:v>3.3653751736839814E-2</c:v>
              </c:pt>
              <c:pt idx="30">
                <c:v>3.359711049619804E-2</c:v>
              </c:pt>
              <c:pt idx="31">
                <c:v>3.3532031163852456E-2</c:v>
              </c:pt>
              <c:pt idx="32">
                <c:v>3.3458957803074306E-2</c:v>
              </c:pt>
              <c:pt idx="33">
                <c:v>3.3378372944217985E-2</c:v>
              </c:pt>
              <c:pt idx="34">
                <c:v>3.3290789433924058E-2</c:v>
              </c:pt>
              <c:pt idx="35">
                <c:v>3.3196742285702373E-2</c:v>
              </c:pt>
              <c:pt idx="36">
                <c:v>3.3096780752208496E-2</c:v>
              </c:pt>
              <c:pt idx="37">
                <c:v>3.299146080843951E-2</c:v>
              </c:pt>
              <c:pt idx="38">
                <c:v>3.2881338199045894E-2</c:v>
              </c:pt>
              <c:pt idx="39">
                <c:v>3.2766962164744166E-2</c:v>
              </c:pt>
              <c:pt idx="40">
                <c:v>3.2648869924892181E-2</c:v>
              </c:pt>
              <c:pt idx="41">
                <c:v>3.252758195768729E-2</c:v>
              </c:pt>
              <c:pt idx="42">
                <c:v>3.2403598087678766E-2</c:v>
              </c:pt>
              <c:pt idx="43">
                <c:v>3.2277394363330582E-2</c:v>
              </c:pt>
              <c:pt idx="44">
                <c:v>3.2149420685711076E-2</c:v>
              </c:pt>
              <c:pt idx="45">
                <c:v>3.2020099133082555E-2</c:v>
              </c:pt>
              <c:pt idx="46">
                <c:v>3.1889822914942911E-2</c:v>
              </c:pt>
              <c:pt idx="47">
                <c:v>3.1758955882424979E-2</c:v>
              </c:pt>
              <c:pt idx="48">
                <c:v>3.16278325192349E-2</c:v>
              </c:pt>
              <c:pt idx="49">
                <c:v>3.1496758337790295E-2</c:v>
              </c:pt>
              <c:pt idx="50">
                <c:v>3.1366010608182678E-2</c:v>
              </c:pt>
              <c:pt idx="51">
                <c:v>3.1235839352359684E-2</c:v>
              </c:pt>
              <c:pt idx="52">
                <c:v>3.1106468541898472E-2</c:v>
              </c:pt>
              <c:pt idx="53">
                <c:v>3.0978097444408995E-2</c:v>
              </c:pt>
              <c:pt idx="54">
                <c:v>3.0850902070547182E-2</c:v>
              </c:pt>
              <c:pt idx="55">
                <c:v>3.0725036680508942E-2</c:v>
              </c:pt>
              <c:pt idx="56">
                <c:v>3.0600635315476219E-2</c:v>
              </c:pt>
              <c:pt idx="57">
                <c:v>3.0356668871943389E-2</c:v>
              </c:pt>
              <c:pt idx="58">
                <c:v>3.0119727959716215E-2</c:v>
              </c:pt>
              <c:pt idx="59">
                <c:v>2.9890307963181588E-2</c:v>
              </c:pt>
              <c:pt idx="60">
                <c:v>2.9668715818191152E-2</c:v>
              </c:pt>
              <c:pt idx="61">
                <c:v>2.9455106521464464E-2</c:v>
              </c:pt>
              <c:pt idx="62">
                <c:v>2.9249514599656405E-2</c:v>
              </c:pt>
              <c:pt idx="63">
                <c:v>2.9051880732157462E-2</c:v>
              </c:pt>
              <c:pt idx="64">
                <c:v>2.8862073926862193E-2</c:v>
              </c:pt>
              <c:pt idx="65">
                <c:v>2.8679909746885161E-2</c:v>
              </c:pt>
              <c:pt idx="66">
                <c:v>2.850516511451388E-2</c:v>
              </c:pt>
              <c:pt idx="67">
                <c:v>2.8337590203391938E-2</c:v>
              </c:pt>
              <c:pt idx="68">
                <c:v>2.8176917890019609E-2</c:v>
              </c:pt>
              <c:pt idx="69">
                <c:v>2.8022871183970465E-2</c:v>
              </c:pt>
              <c:pt idx="70">
                <c:v>2.787516900098734E-2</c:v>
              </c:pt>
              <c:pt idx="71">
                <c:v>2.7733530589312109E-2</c:v>
              </c:pt>
              <c:pt idx="72">
                <c:v>2.7597678869968504E-2</c:v>
              </c:pt>
              <c:pt idx="73">
                <c:v>2.7467342907544576E-2</c:v>
              </c:pt>
              <c:pt idx="74">
                <c:v>2.7342259689686454E-2</c:v>
              </c:pt>
              <c:pt idx="75">
                <c:v>2.7222175360855375E-2</c:v>
              </c:pt>
              <c:pt idx="76">
                <c:v>2.7106846028461383E-2</c:v>
              </c:pt>
              <c:pt idx="77">
                <c:v>2.6889529184494495E-2</c:v>
              </c:pt>
              <c:pt idx="78">
                <c:v>2.668856936300271E-2</c:v>
              </c:pt>
              <c:pt idx="79">
                <c:v>2.6502394789499222E-2</c:v>
              </c:pt>
              <c:pt idx="80">
                <c:v>2.6329593545922181E-2</c:v>
              </c:pt>
              <c:pt idx="81">
                <c:v>2.6168901733109907E-2</c:v>
              </c:pt>
              <c:pt idx="82">
                <c:v>2.5813035647998705E-2</c:v>
              </c:pt>
              <c:pt idx="83">
                <c:v>2.5511538494531361E-2</c:v>
              </c:pt>
              <c:pt idx="84">
                <c:v>2.5030233287462008E-2</c:v>
              </c:pt>
              <c:pt idx="85">
                <c:v>2.4664538936367223E-2</c:v>
              </c:pt>
              <c:pt idx="86">
                <c:v>2.4513079167371363E-2</c:v>
              </c:pt>
              <c:pt idx="87">
                <c:v>2.3669257953937196E-2</c:v>
              </c:pt>
              <c:pt idx="88">
                <c:v>2.3226253054330244E-2</c:v>
              </c:pt>
              <c:pt idx="89">
                <c:v>2.297677662357207E-2</c:v>
              </c:pt>
              <c:pt idx="90">
                <c:v>2.2705874799960772E-2</c:v>
              </c:pt>
              <c:pt idx="91">
                <c:v>2.2561654115928028E-2</c:v>
              </c:pt>
              <c:pt idx="92">
                <c:v>2.2089999999999999E-2</c:v>
              </c:pt>
              <c:pt idx="93">
                <c:v>2.1552258030873392E-2</c:v>
              </c:pt>
              <c:pt idx="94">
                <c:v>2.1356499457712085E-2</c:v>
              </c:pt>
              <c:pt idx="95">
                <c:v>2.0937716961728577E-2</c:v>
              </c:pt>
              <c:pt idx="96">
                <c:v>2.0479749031911135E-2</c:v>
              </c:pt>
              <c:pt idx="97">
                <c:v>2.0341236007200159E-2</c:v>
              </c:pt>
              <c:pt idx="98">
                <c:v>2.0177005871812564E-2</c:v>
              </c:pt>
              <c:pt idx="99">
                <c:v>1.9979299236674353E-2</c:v>
              </c:pt>
              <c:pt idx="100">
                <c:v>1.9736965042908547E-2</c:v>
              </c:pt>
              <c:pt idx="101">
                <c:v>1.9433446838221596E-2</c:v>
              </c:pt>
              <c:pt idx="102">
                <c:v>1.9043221762100281E-2</c:v>
              </c:pt>
              <c:pt idx="103">
                <c:v>1.8803654042302127E-2</c:v>
              </c:pt>
              <c:pt idx="104">
                <c:v>1.8525241715311131E-2</c:v>
              </c:pt>
              <c:pt idx="105">
                <c:v>1.819840404132228E-2</c:v>
              </c:pt>
              <c:pt idx="106">
                <c:v>1.7810490574581041E-2</c:v>
              </c:pt>
              <c:pt idx="107">
                <c:v>1.7634631619898415E-2</c:v>
              </c:pt>
              <c:pt idx="108">
                <c:v>1.7445077749228596E-2</c:v>
              </c:pt>
              <c:pt idx="109">
                <c:v>1.7240380041943799E-2</c:v>
              </c:pt>
              <c:pt idx="110">
                <c:v>1.7018927341748862E-2</c:v>
              </c:pt>
              <c:pt idx="111">
                <c:v>1.6778939428956387E-2</c:v>
              </c:pt>
              <c:pt idx="112">
                <c:v>1.6651392345486998E-2</c:v>
              </c:pt>
              <c:pt idx="113">
                <c:v>1.6518468611358989E-2</c:v>
              </c:pt>
              <c:pt idx="114">
                <c:v>1.6379901264933105E-2</c:v>
              </c:pt>
              <c:pt idx="115">
                <c:v>1.6235416190852701E-2</c:v>
              </c:pt>
              <c:pt idx="116">
                <c:v>1.6084734208014317E-2</c:v>
              </c:pt>
              <c:pt idx="117">
                <c:v>1.5927573929100981E-2</c:v>
              </c:pt>
              <c:pt idx="118">
                <c:v>1.5763655587379802E-2</c:v>
              </c:pt>
              <c:pt idx="119">
                <c:v>1.5592706067580262E-2</c:v>
              </c:pt>
              <c:pt idx="120">
                <c:v>1.541446542453016E-2</c:v>
              </c:pt>
              <c:pt idx="121">
                <c:v>1.5228695225080026E-2</c:v>
              </c:pt>
              <c:pt idx="122">
                <c:v>1.5035189103791482E-2</c:v>
              </c:pt>
              <c:pt idx="123">
                <c:v>1.4833785977207629E-2</c:v>
              </c:pt>
              <c:pt idx="124">
                <c:v>1.4624386408887165E-2</c:v>
              </c:pt>
              <c:pt idx="125">
                <c:v>1.4406972647533905E-2</c:v>
              </c:pt>
              <c:pt idx="126">
                <c:v>1.4181632857939249E-2</c:v>
              </c:pt>
              <c:pt idx="127">
                <c:v>1.4066054222777982E-2</c:v>
              </c:pt>
              <c:pt idx="128">
                <c:v>1.3948590006558157E-2</c:v>
              </c:pt>
              <c:pt idx="129">
                <c:v>1.3829294697843704E-2</c:v>
              </c:pt>
              <c:pt idx="130">
                <c:v>1.3708235719301449E-2</c:v>
              </c:pt>
              <c:pt idx="131">
                <c:v>1.3585494757106985E-2</c:v>
              </c:pt>
              <c:pt idx="132">
                <c:v>1.346116915801567E-2</c:v>
              </c:pt>
              <c:pt idx="133">
                <c:v>1.3335373384527295E-2</c:v>
              </c:pt>
              <c:pt idx="134">
                <c:v>1.320824051486838E-2</c:v>
              </c:pt>
              <c:pt idx="135">
                <c:v>1.3079923770199547E-2</c:v>
              </c:pt>
              <c:pt idx="136">
                <c:v>1.2950598046511897E-2</c:v>
              </c:pt>
              <c:pt idx="137">
                <c:v>1.2820461423119791E-2</c:v>
              </c:pt>
              <c:pt idx="138">
                <c:v>1.2689736613537754E-2</c:v>
              </c:pt>
              <c:pt idx="139">
                <c:v>1.2558672317948329E-2</c:v>
              </c:pt>
              <c:pt idx="140">
                <c:v>1.2427544429586192E-2</c:v>
              </c:pt>
            </c:numLit>
          </c:yVal>
          <c:smooth val="1"/>
          <c:extLst>
            <c:ext xmlns:c16="http://schemas.microsoft.com/office/drawing/2014/chart" uri="{C3380CC4-5D6E-409C-BE32-E72D297353CC}">
              <c16:uniqueId val="{0000008E-E954-48F9-993C-11256A0BCA95}"/>
            </c:ext>
          </c:extLst>
        </c:ser>
        <c:dLbls>
          <c:showLegendKey val="0"/>
          <c:showVal val="0"/>
          <c:showCatName val="0"/>
          <c:showSerName val="0"/>
          <c:showPercent val="0"/>
          <c:showBubbleSize val="0"/>
        </c:dLbls>
        <c:axId val="358253584"/>
        <c:axId val="358251624"/>
      </c:scatterChart>
      <c:valAx>
        <c:axId val="358253584"/>
        <c:scaling>
          <c:orientation val="minMax"/>
          <c:max val="66.8"/>
          <c:min val="-10.226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226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80A6-4898-BA1B-CA5225561492}"/>
            </c:ext>
          </c:extLst>
        </c:ser>
        <c:ser>
          <c:idx val="1"/>
          <c:order val="1"/>
          <c:spPr>
            <a:ln w="3175">
              <a:solidFill>
                <a:srgbClr val="000000"/>
              </a:solidFill>
              <a:prstDash val="solid"/>
            </a:ln>
          </c:spPr>
          <c:marker>
            <c:symbol val="none"/>
          </c:marker>
          <c:xVal>
            <c:numLit>
              <c:formatCode>General</c:formatCode>
              <c:ptCount val="2"/>
              <c:pt idx="0">
                <c:v>19.112065002102213</c:v>
              </c:pt>
              <c:pt idx="1">
                <c:v>19.450992439681045</c:v>
              </c:pt>
            </c:numLit>
          </c:xVal>
          <c:yVal>
            <c:numLit>
              <c:formatCode>General</c:formatCode>
              <c:ptCount val="2"/>
              <c:pt idx="0">
                <c:v>2.9819964456331043E-2</c:v>
              </c:pt>
              <c:pt idx="1">
                <c:v>3.0109838123443457E-2</c:v>
              </c:pt>
            </c:numLit>
          </c:yVal>
          <c:smooth val="0"/>
          <c:extLst>
            <c:ext xmlns:c16="http://schemas.microsoft.com/office/drawing/2014/chart" uri="{C3380CC4-5D6E-409C-BE32-E72D297353CC}">
              <c16:uniqueId val="{00000001-80A6-4898-BA1B-CA5225561492}"/>
            </c:ext>
          </c:extLst>
        </c:ser>
        <c:ser>
          <c:idx val="2"/>
          <c:order val="2"/>
          <c:spPr>
            <a:ln w="3175">
              <a:solidFill>
                <a:srgbClr val="000000"/>
              </a:solidFill>
              <a:prstDash val="solid"/>
            </a:ln>
          </c:spPr>
          <c:marker>
            <c:symbol val="none"/>
          </c:marker>
          <c:dLbls>
            <c:dLbl>
              <c:idx val="0"/>
              <c:tx>
                <c:rich>
                  <a:bodyPr rot="-33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20.241823127364988</c:v>
              </c:pt>
            </c:numLit>
          </c:xVal>
          <c:yVal>
            <c:numLit>
              <c:formatCode>General</c:formatCode>
              <c:ptCount val="1"/>
              <c:pt idx="0">
                <c:v>3.0786210013372423E-2</c:v>
              </c:pt>
            </c:numLit>
          </c:yVal>
          <c:smooth val="0"/>
          <c:extLst>
            <c:ext xmlns:c16="http://schemas.microsoft.com/office/drawing/2014/chart" uri="{C3380CC4-5D6E-409C-BE32-E72D297353CC}">
              <c16:uniqueId val="{00000003-80A6-4898-BA1B-CA5225561492}"/>
            </c:ext>
          </c:extLst>
        </c:ser>
        <c:ser>
          <c:idx val="3"/>
          <c:order val="3"/>
          <c:spPr>
            <a:ln w="3175">
              <a:solidFill>
                <a:srgbClr val="000000"/>
              </a:solidFill>
              <a:prstDash val="solid"/>
            </a:ln>
          </c:spPr>
          <c:marker>
            <c:symbol val="none"/>
          </c:marker>
          <c:xVal>
            <c:numLit>
              <c:formatCode>General</c:formatCode>
              <c:ptCount val="2"/>
              <c:pt idx="0">
                <c:v>18.8450970773753</c:v>
              </c:pt>
              <c:pt idx="1">
                <c:v>19.009555147576087</c:v>
              </c:pt>
            </c:numLit>
          </c:xVal>
          <c:yVal>
            <c:numLit>
              <c:formatCode>General</c:formatCode>
              <c:ptCount val="2"/>
              <c:pt idx="0">
                <c:v>2.9924674367665466E-2</c:v>
              </c:pt>
              <c:pt idx="1">
                <c:v>3.0071574512059194E-2</c:v>
              </c:pt>
            </c:numLit>
          </c:yVal>
          <c:smooth val="0"/>
          <c:extLst>
            <c:ext xmlns:c16="http://schemas.microsoft.com/office/drawing/2014/chart" uri="{C3380CC4-5D6E-409C-BE32-E72D297353CC}">
              <c16:uniqueId val="{00000004-80A6-4898-BA1B-CA5225561492}"/>
            </c:ext>
          </c:extLst>
        </c:ser>
        <c:ser>
          <c:idx val="4"/>
          <c:order val="4"/>
          <c:spPr>
            <a:ln w="3175">
              <a:solidFill>
                <a:srgbClr val="000000"/>
              </a:solidFill>
              <a:prstDash val="solid"/>
            </a:ln>
          </c:spPr>
          <c:marker>
            <c:symbol val="none"/>
          </c:marker>
          <c:xVal>
            <c:numLit>
              <c:formatCode>General</c:formatCode>
              <c:ptCount val="2"/>
              <c:pt idx="0">
                <c:v>18.56722975012455</c:v>
              </c:pt>
              <c:pt idx="1">
                <c:v>18.885725865754221</c:v>
              </c:pt>
            </c:numLit>
          </c:xVal>
          <c:yVal>
            <c:numLit>
              <c:formatCode>General</c:formatCode>
              <c:ptCount val="2"/>
              <c:pt idx="0">
                <c:v>3.0028925452153143E-2</c:v>
              </c:pt>
              <c:pt idx="1">
                <c:v>3.0326635156608887E-2</c:v>
              </c:pt>
            </c:numLit>
          </c:yVal>
          <c:smooth val="0"/>
          <c:extLst>
            <c:ext xmlns:c16="http://schemas.microsoft.com/office/drawing/2014/chart" uri="{C3380CC4-5D6E-409C-BE32-E72D297353CC}">
              <c16:uniqueId val="{00000005-80A6-4898-BA1B-CA5225561492}"/>
            </c:ext>
          </c:extLst>
        </c:ser>
        <c:ser>
          <c:idx val="5"/>
          <c:order val="5"/>
          <c:spPr>
            <a:ln w="3175">
              <a:solidFill>
                <a:srgbClr val="000000"/>
              </a:solidFill>
              <a:prstDash val="solid"/>
            </a:ln>
          </c:spPr>
          <c:marker>
            <c:symbol val="none"/>
          </c:marker>
          <c:xVal>
            <c:numLit>
              <c:formatCode>General</c:formatCode>
              <c:ptCount val="2"/>
              <c:pt idx="0">
                <c:v>18.278235688191689</c:v>
              </c:pt>
              <c:pt idx="1">
                <c:v>18.432065107345284</c:v>
              </c:pt>
            </c:numLit>
          </c:xVal>
          <c:yVal>
            <c:numLit>
              <c:formatCode>General</c:formatCode>
              <c:ptCount val="2"/>
              <c:pt idx="0">
                <c:v>3.0132427796929415E-2</c:v>
              </c:pt>
              <c:pt idx="1">
                <c:v>3.0283223318121839E-2</c:v>
              </c:pt>
            </c:numLit>
          </c:yVal>
          <c:smooth val="0"/>
          <c:extLst>
            <c:ext xmlns:c16="http://schemas.microsoft.com/office/drawing/2014/chart" uri="{C3380CC4-5D6E-409C-BE32-E72D297353CC}">
              <c16:uniqueId val="{00000006-80A6-4898-BA1B-CA5225561492}"/>
            </c:ext>
          </c:extLst>
        </c:ser>
        <c:ser>
          <c:idx val="6"/>
          <c:order val="6"/>
          <c:spPr>
            <a:ln w="3175">
              <a:solidFill>
                <a:srgbClr val="000000"/>
              </a:solidFill>
              <a:prstDash val="solid"/>
            </a:ln>
          </c:spPr>
          <c:marker>
            <c:symbol val="none"/>
          </c:marker>
          <c:xVal>
            <c:numLit>
              <c:formatCode>General</c:formatCode>
              <c:ptCount val="2"/>
              <c:pt idx="0">
                <c:v>17.977922395619551</c:v>
              </c:pt>
              <c:pt idx="1">
                <c:v>18.274319485455287</c:v>
              </c:pt>
            </c:numLit>
          </c:xVal>
          <c:yVal>
            <c:numLit>
              <c:formatCode>General</c:formatCode>
              <c:ptCount val="2"/>
              <c:pt idx="0">
                <c:v>3.023486799351929E-2</c:v>
              </c:pt>
              <c:pt idx="1">
                <c:v>3.0540300543276264E-2</c:v>
              </c:pt>
            </c:numLit>
          </c:yVal>
          <c:smooth val="0"/>
          <c:extLst>
            <c:ext xmlns:c16="http://schemas.microsoft.com/office/drawing/2014/chart" uri="{C3380CC4-5D6E-409C-BE32-E72D297353CC}">
              <c16:uniqueId val="{00000007-80A6-4898-BA1B-CA5225561492}"/>
            </c:ext>
          </c:extLst>
        </c:ser>
        <c:ser>
          <c:idx val="7"/>
          <c:order val="7"/>
          <c:spPr>
            <a:ln w="3175">
              <a:solidFill>
                <a:srgbClr val="000000"/>
              </a:solidFill>
              <a:prstDash val="solid"/>
            </a:ln>
          </c:spPr>
          <c:marker>
            <c:symbol val="none"/>
          </c:marker>
          <c:dLbls>
            <c:dLbl>
              <c:idx val="0"/>
              <c:tx>
                <c:rich>
                  <a:bodyPr rot="-3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18.965912695071996</c:v>
              </c:pt>
            </c:numLit>
          </c:xVal>
          <c:yVal>
            <c:numLit>
              <c:formatCode>General</c:formatCode>
              <c:ptCount val="1"/>
              <c:pt idx="0">
                <c:v>3.1252976492709202E-2</c:v>
              </c:pt>
            </c:numLit>
          </c:yVal>
          <c:smooth val="0"/>
          <c:extLst>
            <c:ext xmlns:c16="http://schemas.microsoft.com/office/drawing/2014/chart" uri="{C3380CC4-5D6E-409C-BE32-E72D297353CC}">
              <c16:uniqueId val="{00000009-80A6-4898-BA1B-CA5225561492}"/>
            </c:ext>
          </c:extLst>
        </c:ser>
        <c:ser>
          <c:idx val="8"/>
          <c:order val="8"/>
          <c:spPr>
            <a:ln w="3175">
              <a:solidFill>
                <a:srgbClr val="000000"/>
              </a:solidFill>
              <a:prstDash val="solid"/>
            </a:ln>
          </c:spPr>
          <c:marker>
            <c:symbol val="none"/>
          </c:marker>
          <c:xVal>
            <c:numLit>
              <c:formatCode>General</c:formatCode>
              <c:ptCount val="2"/>
              <c:pt idx="0">
                <c:v>17.66613839326984</c:v>
              </c:pt>
              <c:pt idx="1">
                <c:v>17.80849098814365</c:v>
              </c:pt>
            </c:numLit>
          </c:xVal>
          <c:yVal>
            <c:numLit>
              <c:formatCode>General</c:formatCode>
              <c:ptCount val="2"/>
              <c:pt idx="0">
                <c:v>3.033590950901436E-2</c:v>
              </c:pt>
              <c:pt idx="1">
                <c:v>3.0490520312308381E-2</c:v>
              </c:pt>
            </c:numLit>
          </c:yVal>
          <c:smooth val="0"/>
          <c:extLst>
            <c:ext xmlns:c16="http://schemas.microsoft.com/office/drawing/2014/chart" uri="{C3380CC4-5D6E-409C-BE32-E72D297353CC}">
              <c16:uniqueId val="{0000000A-80A6-4898-BA1B-CA5225561492}"/>
            </c:ext>
          </c:extLst>
        </c:ser>
        <c:ser>
          <c:idx val="9"/>
          <c:order val="9"/>
          <c:spPr>
            <a:ln w="3175">
              <a:solidFill>
                <a:srgbClr val="000000"/>
              </a:solidFill>
              <a:prstDash val="solid"/>
            </a:ln>
          </c:spPr>
          <c:marker>
            <c:symbol val="none"/>
          </c:marker>
          <c:xVal>
            <c:numLit>
              <c:formatCode>General</c:formatCode>
              <c:ptCount val="2"/>
              <c:pt idx="0">
                <c:v>17.342779673832094</c:v>
              </c:pt>
              <c:pt idx="1">
                <c:v>17.615358911600801</c:v>
              </c:pt>
            </c:numLit>
          </c:xVal>
          <c:yVal>
            <c:numLit>
              <c:formatCode>General</c:formatCode>
              <c:ptCount val="2"/>
              <c:pt idx="0">
                <c:v>3.0435193499355299E-2</c:v>
              </c:pt>
              <c:pt idx="1">
                <c:v>3.0748138255581123E-2</c:v>
              </c:pt>
            </c:numLit>
          </c:yVal>
          <c:smooth val="0"/>
          <c:extLst>
            <c:ext xmlns:c16="http://schemas.microsoft.com/office/drawing/2014/chart" uri="{C3380CC4-5D6E-409C-BE32-E72D297353CC}">
              <c16:uniqueId val="{0000000B-80A6-4898-BA1B-CA5225561492}"/>
            </c:ext>
          </c:extLst>
        </c:ser>
        <c:ser>
          <c:idx val="10"/>
          <c:order val="10"/>
          <c:spPr>
            <a:ln w="3175">
              <a:solidFill>
                <a:srgbClr val="000000"/>
              </a:solidFill>
              <a:prstDash val="solid"/>
            </a:ln>
          </c:spPr>
          <c:marker>
            <c:symbol val="none"/>
          </c:marker>
          <c:xVal>
            <c:numLit>
              <c:formatCode>General</c:formatCode>
              <c:ptCount val="2"/>
              <c:pt idx="0">
                <c:v>17.007796325582085</c:v>
              </c:pt>
              <c:pt idx="1">
                <c:v>17.137805006686751</c:v>
              </c:pt>
            </c:numLit>
          </c:xVal>
          <c:yVal>
            <c:numLit>
              <c:formatCode>General</c:formatCode>
              <c:ptCount val="2"/>
              <c:pt idx="0">
                <c:v>3.0532340123372845E-2</c:v>
              </c:pt>
              <c:pt idx="1">
                <c:v>3.0690634000686084E-2</c:v>
              </c:pt>
            </c:numLit>
          </c:yVal>
          <c:smooth val="0"/>
          <c:extLst>
            <c:ext xmlns:c16="http://schemas.microsoft.com/office/drawing/2014/chart" uri="{C3380CC4-5D6E-409C-BE32-E72D297353CC}">
              <c16:uniqueId val="{0000000C-80A6-4898-BA1B-CA5225561492}"/>
            </c:ext>
          </c:extLst>
        </c:ser>
        <c:ser>
          <c:idx val="11"/>
          <c:order val="11"/>
          <c:spPr>
            <a:ln w="3175">
              <a:solidFill>
                <a:srgbClr val="000000"/>
              </a:solidFill>
              <a:prstDash val="solid"/>
            </a:ln>
          </c:spPr>
          <c:marker>
            <c:symbol val="none"/>
          </c:marker>
          <c:xVal>
            <c:numLit>
              <c:formatCode>General</c:formatCode>
              <c:ptCount val="2"/>
              <c:pt idx="0">
                <c:v>16.661199191953962</c:v>
              </c:pt>
              <c:pt idx="1">
                <c:v>16.908219161652234</c:v>
              </c:pt>
            </c:numLit>
          </c:xVal>
          <c:yVal>
            <c:numLit>
              <c:formatCode>General</c:formatCode>
              <c:ptCount val="2"/>
              <c:pt idx="0">
                <c:v>3.0626950411091525E-2</c:v>
              </c:pt>
              <c:pt idx="1">
                <c:v>3.094708605150746E-2</c:v>
              </c:pt>
            </c:numLit>
          </c:yVal>
          <c:smooth val="0"/>
          <c:extLst>
            <c:ext xmlns:c16="http://schemas.microsoft.com/office/drawing/2014/chart" uri="{C3380CC4-5D6E-409C-BE32-E72D297353CC}">
              <c16:uniqueId val="{0000000D-80A6-4898-BA1B-CA5225561492}"/>
            </c:ext>
          </c:extLst>
        </c:ser>
        <c:ser>
          <c:idx val="12"/>
          <c:order val="12"/>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17.484599090948205</c:v>
              </c:pt>
            </c:numLit>
          </c:xVal>
          <c:yVal>
            <c:numLit>
              <c:formatCode>General</c:formatCode>
              <c:ptCount val="1"/>
              <c:pt idx="0">
                <c:v>3.1694069212477964E-2</c:v>
              </c:pt>
            </c:numLit>
          </c:yVal>
          <c:smooth val="0"/>
          <c:extLst>
            <c:ext xmlns:c16="http://schemas.microsoft.com/office/drawing/2014/chart" uri="{C3380CC4-5D6E-409C-BE32-E72D297353CC}">
              <c16:uniqueId val="{0000000F-80A6-4898-BA1B-CA5225561492}"/>
            </c:ext>
          </c:extLst>
        </c:ser>
        <c:ser>
          <c:idx val="13"/>
          <c:order val="13"/>
          <c:spPr>
            <a:ln w="3175">
              <a:solidFill>
                <a:srgbClr val="000000"/>
              </a:solidFill>
              <a:prstDash val="solid"/>
            </a:ln>
          </c:spPr>
          <c:marker>
            <c:symbol val="none"/>
          </c:marker>
          <c:xVal>
            <c:numLit>
              <c:formatCode>General</c:formatCode>
              <c:ptCount val="2"/>
              <c:pt idx="0">
                <c:v>16.303066406374967</c:v>
              </c:pt>
              <c:pt idx="1">
                <c:v>16.419861401494501</c:v>
              </c:pt>
            </c:numLit>
          </c:xVal>
          <c:yVal>
            <c:numLit>
              <c:formatCode>General</c:formatCode>
              <c:ptCount val="2"/>
              <c:pt idx="0">
                <c:v>3.0718608731016221E-2</c:v>
              </c:pt>
              <c:pt idx="1">
                <c:v>3.0880395144722777E-2</c:v>
              </c:pt>
            </c:numLit>
          </c:yVal>
          <c:smooth val="0"/>
          <c:extLst>
            <c:ext xmlns:c16="http://schemas.microsoft.com/office/drawing/2014/chart" uri="{C3380CC4-5D6E-409C-BE32-E72D297353CC}">
              <c16:uniqueId val="{00000010-80A6-4898-BA1B-CA5225561492}"/>
            </c:ext>
          </c:extLst>
        </c:ser>
        <c:ser>
          <c:idx val="14"/>
          <c:order val="14"/>
          <c:spPr>
            <a:ln w="3175">
              <a:solidFill>
                <a:srgbClr val="000000"/>
              </a:solidFill>
              <a:prstDash val="solid"/>
            </a:ln>
          </c:spPr>
          <c:marker>
            <c:symbol val="none"/>
          </c:marker>
          <c:xVal>
            <c:numLit>
              <c:formatCode>General</c:formatCode>
              <c:ptCount val="2"/>
              <c:pt idx="0">
                <c:v>15.933549615402917</c:v>
              </c:pt>
              <c:pt idx="1">
                <c:v>16.153282725980528</c:v>
              </c:pt>
            </c:numLit>
          </c:xVal>
          <c:yVal>
            <c:numLit>
              <c:formatCode>General</c:formatCode>
              <c:ptCount val="2"/>
              <c:pt idx="0">
                <c:v>3.0806885888287203E-2</c:v>
              </c:pt>
              <c:pt idx="1">
                <c:v>3.1133769109097976E-2</c:v>
              </c:pt>
            </c:numLit>
          </c:yVal>
          <c:smooth val="0"/>
          <c:extLst>
            <c:ext xmlns:c16="http://schemas.microsoft.com/office/drawing/2014/chart" uri="{C3380CC4-5D6E-409C-BE32-E72D297353CC}">
              <c16:uniqueId val="{00000011-80A6-4898-BA1B-CA5225561492}"/>
            </c:ext>
          </c:extLst>
        </c:ser>
        <c:ser>
          <c:idx val="15"/>
          <c:order val="15"/>
          <c:spPr>
            <a:ln w="3175">
              <a:solidFill>
                <a:srgbClr val="000000"/>
              </a:solidFill>
              <a:prstDash val="solid"/>
            </a:ln>
          </c:spPr>
          <c:marker>
            <c:symbol val="none"/>
          </c:marker>
          <c:xVal>
            <c:numLit>
              <c:formatCode>General</c:formatCode>
              <c:ptCount val="2"/>
              <c:pt idx="0">
                <c:v>15.552879679875094</c:v>
              </c:pt>
              <c:pt idx="1">
                <c:v>15.655608673872752</c:v>
              </c:pt>
            </c:numLit>
          </c:xVal>
          <c:yVal>
            <c:numLit>
              <c:formatCode>General</c:formatCode>
              <c:ptCount val="2"/>
              <c:pt idx="0">
                <c:v>3.0891342868475898E-2</c:v>
              </c:pt>
              <c:pt idx="1">
                <c:v>3.1056368047259822E-2</c:v>
              </c:pt>
            </c:numLit>
          </c:yVal>
          <c:smooth val="0"/>
          <c:extLst>
            <c:ext xmlns:c16="http://schemas.microsoft.com/office/drawing/2014/chart" uri="{C3380CC4-5D6E-409C-BE32-E72D297353CC}">
              <c16:uniqueId val="{00000012-80A6-4898-BA1B-CA5225561492}"/>
            </c:ext>
          </c:extLst>
        </c:ser>
        <c:ser>
          <c:idx val="16"/>
          <c:order val="16"/>
          <c:spPr>
            <a:ln w="3175">
              <a:solidFill>
                <a:srgbClr val="000000"/>
              </a:solidFill>
              <a:prstDash val="solid"/>
            </a:ln>
          </c:spPr>
          <c:marker>
            <c:symbol val="none"/>
          </c:marker>
          <c:xVal>
            <c:numLit>
              <c:formatCode>General</c:formatCode>
              <c:ptCount val="2"/>
              <c:pt idx="0">
                <c:v>15.161371625668401</c:v>
              </c:pt>
              <c:pt idx="1">
                <c:v>15.352148061630967</c:v>
              </c:pt>
            </c:numLit>
          </c:xVal>
          <c:yVal>
            <c:numLit>
              <c:formatCode>General</c:formatCode>
              <c:ptCount val="2"/>
              <c:pt idx="0">
                <c:v>3.0971535220433173E-2</c:v>
              </c:pt>
              <c:pt idx="1">
                <c:v>3.1304592791199418E-2</c:v>
              </c:pt>
            </c:numLit>
          </c:yVal>
          <c:smooth val="0"/>
          <c:extLst>
            <c:ext xmlns:c16="http://schemas.microsoft.com/office/drawing/2014/chart" uri="{C3380CC4-5D6E-409C-BE32-E72D297353CC}">
              <c16:uniqueId val="{00000013-80A6-4898-BA1B-CA5225561492}"/>
            </c:ext>
          </c:extLst>
        </c:ser>
        <c:ser>
          <c:idx val="17"/>
          <c:order val="17"/>
          <c:spPr>
            <a:ln w="3175">
              <a:solidFill>
                <a:srgbClr val="000000"/>
              </a:solidFill>
              <a:prstDash val="solid"/>
            </a:ln>
          </c:spPr>
          <c:marker>
            <c:symbol val="none"/>
          </c:marker>
          <c:dLbls>
            <c:dLbl>
              <c:idx val="0"/>
              <c:tx>
                <c:rich>
                  <a:bodyPr rot="-42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15.797293078876951</c:v>
              </c:pt>
            </c:numLit>
          </c:xVal>
          <c:yVal>
            <c:numLit>
              <c:formatCode>General</c:formatCode>
              <c:ptCount val="1"/>
              <c:pt idx="0">
                <c:v>3.2081727122987319E-2</c:v>
              </c:pt>
            </c:numLit>
          </c:yVal>
          <c:smooth val="0"/>
          <c:extLst>
            <c:ext xmlns:c16="http://schemas.microsoft.com/office/drawing/2014/chart" uri="{C3380CC4-5D6E-409C-BE32-E72D297353CC}">
              <c16:uniqueId val="{00000015-80A6-4898-BA1B-CA5225561492}"/>
            </c:ext>
          </c:extLst>
        </c:ser>
        <c:ser>
          <c:idx val="18"/>
          <c:order val="18"/>
          <c:spPr>
            <a:ln w="3175">
              <a:solidFill>
                <a:srgbClr val="000000"/>
              </a:solidFill>
              <a:prstDash val="solid"/>
            </a:ln>
          </c:spPr>
          <c:marker>
            <c:symbol val="none"/>
          </c:marker>
          <c:xVal>
            <c:numLit>
              <c:formatCode>General</c:formatCode>
              <c:ptCount val="2"/>
              <c:pt idx="0">
                <c:v>14.759428605087592</c:v>
              </c:pt>
              <c:pt idx="1">
                <c:v>14.847280391432983</c:v>
              </c:pt>
            </c:numLit>
          </c:xVal>
          <c:yVal>
            <c:numLit>
              <c:formatCode>General</c:formatCode>
              <c:ptCount val="2"/>
              <c:pt idx="0">
                <c:v>3.10470180463631E-2</c:v>
              </c:pt>
              <c:pt idx="1">
                <c:v>3.1214962134732408E-2</c:v>
              </c:pt>
            </c:numLit>
          </c:yVal>
          <c:smooth val="0"/>
          <c:extLst>
            <c:ext xmlns:c16="http://schemas.microsoft.com/office/drawing/2014/chart" uri="{C3380CC4-5D6E-409C-BE32-E72D297353CC}">
              <c16:uniqueId val="{00000016-80A6-4898-BA1B-CA5225561492}"/>
            </c:ext>
          </c:extLst>
        </c:ser>
        <c:ser>
          <c:idx val="19"/>
          <c:order val="19"/>
          <c:spPr>
            <a:ln w="3175">
              <a:solidFill>
                <a:srgbClr val="000000"/>
              </a:solidFill>
              <a:prstDash val="solid"/>
            </a:ln>
          </c:spPr>
          <c:marker>
            <c:symbol val="none"/>
          </c:marker>
          <c:xVal>
            <c:numLit>
              <c:formatCode>General</c:formatCode>
              <c:ptCount val="2"/>
              <c:pt idx="0">
                <c:v>14.347544629130377</c:v>
              </c:pt>
              <c:pt idx="1">
                <c:v>14.507802552722767</c:v>
              </c:pt>
            </c:numLit>
          </c:xVal>
          <c:yVal>
            <c:numLit>
              <c:formatCode>General</c:formatCode>
              <c:ptCount val="2"/>
              <c:pt idx="0">
                <c:v>3.1117351538940789E-2</c:v>
              </c:pt>
              <c:pt idx="1">
                <c:v>3.1455877221651066E-2</c:v>
              </c:pt>
            </c:numLit>
          </c:yVal>
          <c:smooth val="0"/>
          <c:extLst>
            <c:ext xmlns:c16="http://schemas.microsoft.com/office/drawing/2014/chart" uri="{C3380CC4-5D6E-409C-BE32-E72D297353CC}">
              <c16:uniqueId val="{00000017-80A6-4898-BA1B-CA5225561492}"/>
            </c:ext>
          </c:extLst>
        </c:ser>
        <c:ser>
          <c:idx val="20"/>
          <c:order val="20"/>
          <c:spPr>
            <a:ln w="3175">
              <a:solidFill>
                <a:srgbClr val="000000"/>
              </a:solidFill>
              <a:prstDash val="solid"/>
            </a:ln>
          </c:spPr>
          <c:marker>
            <c:symbol val="none"/>
          </c:marker>
          <c:xVal>
            <c:numLit>
              <c:formatCode>General</c:formatCode>
              <c:ptCount val="2"/>
              <c:pt idx="0">
                <c:v>13.926305841977111</c:v>
              </c:pt>
              <c:pt idx="1">
                <c:v>13.998536576514182</c:v>
              </c:pt>
            </c:numLit>
          </c:xVal>
          <c:yVal>
            <c:numLit>
              <c:formatCode>General</c:formatCode>
              <c:ptCount val="2"/>
              <c:pt idx="0">
                <c:v>3.1182106975011677E-2</c:v>
              </c:pt>
              <c:pt idx="1">
                <c:v>3.1352583980793144E-2</c:v>
              </c:pt>
            </c:numLit>
          </c:yVal>
          <c:smooth val="0"/>
          <c:extLst>
            <c:ext xmlns:c16="http://schemas.microsoft.com/office/drawing/2014/chart" uri="{C3380CC4-5D6E-409C-BE32-E72D297353CC}">
              <c16:uniqueId val="{00000018-80A6-4898-BA1B-CA5225561492}"/>
            </c:ext>
          </c:extLst>
        </c:ser>
        <c:ser>
          <c:idx val="21"/>
          <c:order val="21"/>
          <c:spPr>
            <a:ln w="3175">
              <a:solidFill>
                <a:srgbClr val="000000"/>
              </a:solidFill>
              <a:prstDash val="solid"/>
            </a:ln>
          </c:spPr>
          <c:marker>
            <c:symbol val="none"/>
          </c:marker>
          <c:xVal>
            <c:numLit>
              <c:formatCode>General</c:formatCode>
              <c:ptCount val="2"/>
              <c:pt idx="0">
                <c:v>13.496390133576961</c:v>
              </c:pt>
              <c:pt idx="1">
                <c:v>13.624729763586098</c:v>
              </c:pt>
            </c:numLit>
          </c:xVal>
          <c:yVal>
            <c:numLit>
              <c:formatCode>General</c:formatCode>
              <c:ptCount val="2"/>
              <c:pt idx="0">
                <c:v>3.1240873044807643E-2</c:v>
              </c:pt>
              <c:pt idx="1">
                <c:v>3.1584030783987929E-2</c:v>
              </c:pt>
            </c:numLit>
          </c:yVal>
          <c:smooth val="0"/>
          <c:extLst>
            <c:ext xmlns:c16="http://schemas.microsoft.com/office/drawing/2014/chart" uri="{C3380CC4-5D6E-409C-BE32-E72D297353CC}">
              <c16:uniqueId val="{00000019-80A6-4898-BA1B-CA5225561492}"/>
            </c:ext>
          </c:extLst>
        </c:ser>
        <c:ser>
          <c:idx val="22"/>
          <c:order val="22"/>
          <c:spPr>
            <a:ln w="3175">
              <a:solidFill>
                <a:srgbClr val="000000"/>
              </a:solidFill>
              <a:prstDash val="solid"/>
            </a:ln>
          </c:spPr>
          <c:marker>
            <c:symbol val="none"/>
          </c:marker>
          <c:dLbls>
            <c:dLbl>
              <c:idx val="0"/>
              <c:tx>
                <c:rich>
                  <a:bodyPr rot="-4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13.924188900274082</c:v>
              </c:pt>
            </c:numLit>
          </c:xVal>
          <c:yVal>
            <c:numLit>
              <c:formatCode>General</c:formatCode>
              <c:ptCount val="1"/>
              <c:pt idx="0">
                <c:v>3.2384732175408597E-2</c:v>
              </c:pt>
            </c:numLit>
          </c:yVal>
          <c:smooth val="0"/>
          <c:extLst>
            <c:ext xmlns:c16="http://schemas.microsoft.com/office/drawing/2014/chart" uri="{C3380CC4-5D6E-409C-BE32-E72D297353CC}">
              <c16:uniqueId val="{0000001B-80A6-4898-BA1B-CA5225561492}"/>
            </c:ext>
          </c:extLst>
        </c:ser>
        <c:ser>
          <c:idx val="23"/>
          <c:order val="23"/>
          <c:spPr>
            <a:ln w="3175">
              <a:solidFill>
                <a:srgbClr val="000000"/>
              </a:solidFill>
              <a:prstDash val="solid"/>
            </a:ln>
          </c:spPr>
          <c:marker>
            <c:symbol val="none"/>
          </c:marker>
          <c:xVal>
            <c:numLit>
              <c:formatCode>General</c:formatCode>
              <c:ptCount val="2"/>
              <c:pt idx="0">
                <c:v>13.058564924947557</c:v>
              </c:pt>
              <c:pt idx="1">
                <c:v>13.114525517290325</c:v>
              </c:pt>
            </c:numLit>
          </c:xVal>
          <c:yVal>
            <c:numLit>
              <c:formatCode>General</c:formatCode>
              <c:ptCount val="2"/>
              <c:pt idx="0">
                <c:v>3.1293262366654133E-2</c:v>
              </c:pt>
              <c:pt idx="1">
                <c:v>3.1465823536028899E-2</c:v>
              </c:pt>
            </c:numLit>
          </c:yVal>
          <c:smooth val="0"/>
          <c:extLst>
            <c:ext xmlns:c16="http://schemas.microsoft.com/office/drawing/2014/chart" uri="{C3380CC4-5D6E-409C-BE32-E72D297353CC}">
              <c16:uniqueId val="{0000001C-80A6-4898-BA1B-CA5225561492}"/>
            </c:ext>
          </c:extLst>
        </c:ser>
        <c:ser>
          <c:idx val="24"/>
          <c:order val="24"/>
          <c:spPr>
            <a:ln w="3175">
              <a:solidFill>
                <a:srgbClr val="000000"/>
              </a:solidFill>
              <a:prstDash val="solid"/>
            </a:ln>
          </c:spPr>
          <c:marker>
            <c:symbol val="none"/>
          </c:marker>
          <c:xVal>
            <c:numLit>
              <c:formatCode>General</c:formatCode>
              <c:ptCount val="2"/>
              <c:pt idx="0">
                <c:v>12.613683013559941</c:v>
              </c:pt>
              <c:pt idx="1">
                <c:v>12.708921126568439</c:v>
              </c:pt>
            </c:numLit>
          </c:xVal>
          <c:yVal>
            <c:numLit>
              <c:formatCode>General</c:formatCode>
              <c:ptCount val="2"/>
              <c:pt idx="0">
                <c:v>3.1338918012023258E-2</c:v>
              </c:pt>
              <c:pt idx="1">
                <c:v>3.1685752437474131E-2</c:v>
              </c:pt>
            </c:numLit>
          </c:yVal>
          <c:smooth val="0"/>
          <c:extLst>
            <c:ext xmlns:c16="http://schemas.microsoft.com/office/drawing/2014/chart" uri="{C3380CC4-5D6E-409C-BE32-E72D297353CC}">
              <c16:uniqueId val="{0000001D-80A6-4898-BA1B-CA5225561492}"/>
            </c:ext>
          </c:extLst>
        </c:ser>
        <c:ser>
          <c:idx val="25"/>
          <c:order val="25"/>
          <c:spPr>
            <a:ln w="3175">
              <a:solidFill>
                <a:srgbClr val="000000"/>
              </a:solidFill>
              <a:prstDash val="solid"/>
            </a:ln>
          </c:spPr>
          <c:marker>
            <c:symbol val="none"/>
          </c:marker>
          <c:xVal>
            <c:numLit>
              <c:formatCode>General</c:formatCode>
              <c:ptCount val="2"/>
              <c:pt idx="0">
                <c:v>12.162676431545373</c:v>
              </c:pt>
              <c:pt idx="1">
                <c:v>12.201839114636849</c:v>
              </c:pt>
            </c:numLit>
          </c:xVal>
          <c:yVal>
            <c:numLit>
              <c:formatCode>General</c:formatCode>
              <c:ptCount val="2"/>
              <c:pt idx="0">
                <c:v>3.1377519846776204E-2</c:v>
              </c:pt>
              <c:pt idx="1">
                <c:v>3.1551660843903262E-2</c:v>
              </c:pt>
            </c:numLit>
          </c:yVal>
          <c:smooth val="0"/>
          <c:extLst>
            <c:ext xmlns:c16="http://schemas.microsoft.com/office/drawing/2014/chart" uri="{C3380CC4-5D6E-409C-BE32-E72D297353CC}">
              <c16:uniqueId val="{0000001E-80A6-4898-BA1B-CA5225561492}"/>
            </c:ext>
          </c:extLst>
        </c:ser>
        <c:ser>
          <c:idx val="26"/>
          <c:order val="26"/>
          <c:spPr>
            <a:ln w="3175">
              <a:solidFill>
                <a:srgbClr val="000000"/>
              </a:solidFill>
              <a:prstDash val="solid"/>
            </a:ln>
          </c:spPr>
          <c:marker>
            <c:symbol val="none"/>
          </c:marker>
          <c:xVal>
            <c:numLit>
              <c:formatCode>General</c:formatCode>
              <c:ptCount val="2"/>
              <c:pt idx="0">
                <c:v>11.706548344769773</c:v>
              </c:pt>
              <c:pt idx="1">
                <c:v>11.76776890769864</c:v>
              </c:pt>
            </c:numLit>
          </c:xVal>
          <c:yVal>
            <c:numLit>
              <c:formatCode>General</c:formatCode>
              <c:ptCount val="2"/>
              <c:pt idx="0">
                <c:v>3.1408790483649543E-2</c:v>
              </c:pt>
              <c:pt idx="1">
                <c:v>3.1758245126786398E-2</c:v>
              </c:pt>
            </c:numLit>
          </c:yVal>
          <c:smooth val="0"/>
          <c:extLst>
            <c:ext xmlns:c16="http://schemas.microsoft.com/office/drawing/2014/chart" uri="{C3380CC4-5D6E-409C-BE32-E72D297353CC}">
              <c16:uniqueId val="{0000001F-80A6-4898-BA1B-CA5225561492}"/>
            </c:ext>
          </c:extLst>
        </c:ser>
        <c:ser>
          <c:idx val="27"/>
          <c:order val="27"/>
          <c:spPr>
            <a:ln w="3175">
              <a:solidFill>
                <a:srgbClr val="000000"/>
              </a:solidFill>
              <a:prstDash val="solid"/>
            </a:ln>
          </c:spPr>
          <c:marker>
            <c:symbol val="none"/>
          </c:marker>
          <c:dLbls>
            <c:dLbl>
              <c:idx val="0"/>
              <c:tx>
                <c:rich>
                  <a:bodyPr rot="-50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11.910616887865995</c:v>
              </c:pt>
            </c:numLit>
          </c:xVal>
          <c:yVal>
            <c:numLit>
              <c:formatCode>General</c:formatCode>
              <c:ptCount val="1"/>
              <c:pt idx="0">
                <c:v>3.2573639294105734E-2</c:v>
              </c:pt>
            </c:numLit>
          </c:yVal>
          <c:smooth val="0"/>
          <c:extLst>
            <c:ext xmlns:c16="http://schemas.microsoft.com/office/drawing/2014/chart" uri="{C3380CC4-5D6E-409C-BE32-E72D297353CC}">
              <c16:uniqueId val="{00000021-80A6-4898-BA1B-CA5225561492}"/>
            </c:ext>
          </c:extLst>
        </c:ser>
        <c:ser>
          <c:idx val="28"/>
          <c:order val="28"/>
          <c:spPr>
            <a:ln w="3175">
              <a:solidFill>
                <a:srgbClr val="000000"/>
              </a:solidFill>
              <a:prstDash val="solid"/>
            </a:ln>
          </c:spPr>
          <c:marker>
            <c:symbol val="none"/>
          </c:marker>
          <c:xVal>
            <c:numLit>
              <c:formatCode>General</c:formatCode>
              <c:ptCount val="2"/>
              <c:pt idx="0">
                <c:v>11.246363102205093</c:v>
              </c:pt>
              <c:pt idx="1">
                <c:v>11.268344910371439</c:v>
              </c:pt>
            </c:numLit>
          </c:xVal>
          <c:yVal>
            <c:numLit>
              <c:formatCode>General</c:formatCode>
              <c:ptCount val="2"/>
              <c:pt idx="0">
                <c:v>3.1432500640195878E-2</c:v>
              </c:pt>
              <c:pt idx="1">
                <c:v>3.1607672527199551E-2</c:v>
              </c:pt>
            </c:numLit>
          </c:yVal>
          <c:smooth val="0"/>
          <c:extLst>
            <c:ext xmlns:c16="http://schemas.microsoft.com/office/drawing/2014/chart" uri="{C3380CC4-5D6E-409C-BE32-E72D297353CC}">
              <c16:uniqueId val="{00000022-80A6-4898-BA1B-CA5225561492}"/>
            </c:ext>
          </c:extLst>
        </c:ser>
        <c:ser>
          <c:idx val="29"/>
          <c:order val="29"/>
          <c:spPr>
            <a:ln w="3175">
              <a:solidFill>
                <a:srgbClr val="000000"/>
              </a:solidFill>
              <a:prstDash val="solid"/>
            </a:ln>
          </c:spPr>
          <c:marker>
            <c:symbol val="none"/>
          </c:marker>
          <c:xVal>
            <c:numLit>
              <c:formatCode>General</c:formatCode>
              <c:ptCount val="2"/>
              <c:pt idx="0">
                <c:v>10.783234627624566</c:v>
              </c:pt>
              <c:pt idx="1">
                <c:v>10.809830926160487</c:v>
              </c:pt>
            </c:numLit>
          </c:xVal>
          <c:yVal>
            <c:numLit>
              <c:formatCode>General</c:formatCode>
              <c:ptCount val="2"/>
              <c:pt idx="0">
                <c:v>3.1448473706588605E-2</c:v>
              </c:pt>
              <c:pt idx="1">
                <c:v>3.1799416470585679E-2</c:v>
              </c:pt>
            </c:numLit>
          </c:yVal>
          <c:smooth val="0"/>
          <c:extLst>
            <c:ext xmlns:c16="http://schemas.microsoft.com/office/drawing/2014/chart" uri="{C3380CC4-5D6E-409C-BE32-E72D297353CC}">
              <c16:uniqueId val="{00000023-80A6-4898-BA1B-CA5225561492}"/>
            </c:ext>
          </c:extLst>
        </c:ser>
        <c:ser>
          <c:idx val="30"/>
          <c:order val="30"/>
          <c:spPr>
            <a:ln w="3175">
              <a:solidFill>
                <a:srgbClr val="000000"/>
              </a:solidFill>
              <a:prstDash val="solid"/>
            </a:ln>
          </c:spPr>
          <c:marker>
            <c:symbol val="none"/>
          </c:marker>
          <c:xVal>
            <c:numLit>
              <c:formatCode>General</c:formatCode>
              <c:ptCount val="2"/>
              <c:pt idx="0">
                <c:v>10.318313423979751</c:v>
              </c:pt>
              <c:pt idx="1">
                <c:v>10.322894300679371</c:v>
              </c:pt>
            </c:numLit>
          </c:xVal>
          <c:yVal>
            <c:numLit>
              <c:formatCode>General</c:formatCode>
              <c:ptCount val="2"/>
              <c:pt idx="0">
                <c:v>3.145658934922383E-2</c:v>
              </c:pt>
              <c:pt idx="1">
                <c:v>3.1632212899521776E-2</c:v>
              </c:pt>
            </c:numLit>
          </c:yVal>
          <c:smooth val="0"/>
          <c:extLst>
            <c:ext xmlns:c16="http://schemas.microsoft.com/office/drawing/2014/chart" uri="{C3380CC4-5D6E-409C-BE32-E72D297353CC}">
              <c16:uniqueId val="{00000024-80A6-4898-BA1B-CA5225561492}"/>
            </c:ext>
          </c:extLst>
        </c:ser>
        <c:ser>
          <c:idx val="31"/>
          <c:order val="31"/>
          <c:spPr>
            <a:ln w="3175">
              <a:solidFill>
                <a:srgbClr val="000000"/>
              </a:solidFill>
              <a:prstDash val="solid"/>
            </a:ln>
          </c:spPr>
          <c:marker>
            <c:symbol val="none"/>
          </c:marker>
          <c:xVal>
            <c:numLit>
              <c:formatCode>General</c:formatCode>
              <c:ptCount val="2"/>
              <c:pt idx="0">
                <c:v>9.852772529268405</c:v>
              </c:pt>
              <c:pt idx="1">
                <c:v>9.8444764991159701</c:v>
              </c:pt>
            </c:numLit>
          </c:xVal>
          <c:yVal>
            <c:numLit>
              <c:formatCode>General</c:formatCode>
              <c:ptCount val="2"/>
              <c:pt idx="0">
                <c:v>3.1456786008248493E-2</c:v>
              </c:pt>
              <c:pt idx="1">
                <c:v>3.1808040483557815E-2</c:v>
              </c:pt>
            </c:numLit>
          </c:yVal>
          <c:smooth val="0"/>
          <c:extLst>
            <c:ext xmlns:c16="http://schemas.microsoft.com/office/drawing/2014/chart" uri="{C3380CC4-5D6E-409C-BE32-E72D297353CC}">
              <c16:uniqueId val="{00000025-80A6-4898-BA1B-CA5225561492}"/>
            </c:ext>
          </c:extLst>
        </c:ser>
        <c:ser>
          <c:idx val="32"/>
          <c:order val="32"/>
          <c:spPr>
            <a:ln w="3175">
              <a:solidFill>
                <a:srgbClr val="000000"/>
              </a:solidFill>
              <a:prstDash val="solid"/>
            </a:ln>
          </c:spPr>
          <c:marker>
            <c:symbol val="none"/>
          </c:marker>
          <c:dLbls>
            <c:dLbl>
              <c:idx val="0"/>
              <c:tx>
                <c:rich>
                  <a:bodyPr rot="53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9.8251190954269561</c:v>
              </c:pt>
            </c:numLit>
          </c:xVal>
          <c:yVal>
            <c:numLit>
              <c:formatCode>General</c:formatCode>
              <c:ptCount val="1"/>
              <c:pt idx="0">
                <c:v>3.2627634259279559E-2</c:v>
              </c:pt>
            </c:numLit>
          </c:yVal>
          <c:smooth val="0"/>
          <c:extLst>
            <c:ext xmlns:c16="http://schemas.microsoft.com/office/drawing/2014/chart" uri="{C3380CC4-5D6E-409C-BE32-E72D297353CC}">
              <c16:uniqueId val="{00000027-80A6-4898-BA1B-CA5225561492}"/>
            </c:ext>
          </c:extLst>
        </c:ser>
        <c:ser>
          <c:idx val="33"/>
          <c:order val="33"/>
          <c:spPr>
            <a:ln w="3175">
              <a:solidFill>
                <a:srgbClr val="000000"/>
              </a:solidFill>
              <a:prstDash val="solid"/>
            </a:ln>
          </c:spPr>
          <c:marker>
            <c:symbol val="none"/>
          </c:marker>
          <c:xVal>
            <c:numLit>
              <c:formatCode>General</c:formatCode>
              <c:ptCount val="2"/>
              <c:pt idx="0">
                <c:v>9.3877928160861757</c:v>
              </c:pt>
              <c:pt idx="1">
                <c:v>9.3749264313877916</c:v>
              </c:pt>
            </c:numLit>
          </c:xVal>
          <c:yVal>
            <c:numLit>
              <c:formatCode>General</c:formatCode>
              <c:ptCount val="2"/>
              <c:pt idx="0">
                <c:v>3.1449062188412508E-2</c:v>
              </c:pt>
              <c:pt idx="1">
                <c:v>3.1624544604445241E-2</c:v>
              </c:pt>
            </c:numLit>
          </c:yVal>
          <c:smooth val="0"/>
          <c:extLst>
            <c:ext xmlns:c16="http://schemas.microsoft.com/office/drawing/2014/chart" uri="{C3380CC4-5D6E-409C-BE32-E72D297353CC}">
              <c16:uniqueId val="{00000028-80A6-4898-BA1B-CA5225561492}"/>
            </c:ext>
          </c:extLst>
        </c:ser>
        <c:ser>
          <c:idx val="34"/>
          <c:order val="34"/>
          <c:spPr>
            <a:ln w="3175">
              <a:solidFill>
                <a:srgbClr val="000000"/>
              </a:solidFill>
              <a:prstDash val="solid"/>
            </a:ln>
          </c:spPr>
          <c:marker>
            <c:symbol val="none"/>
          </c:marker>
          <c:xVal>
            <c:numLit>
              <c:formatCode>General</c:formatCode>
              <c:ptCount val="2"/>
              <c:pt idx="0">
                <c:v>8.9245480611645895</c:v>
              </c:pt>
              <c:pt idx="1">
                <c:v>8.8814436134582628</c:v>
              </c:pt>
            </c:numLit>
          </c:xVal>
          <c:yVal>
            <c:numLit>
              <c:formatCode>General</c:formatCode>
              <c:ptCount val="2"/>
              <c:pt idx="0">
                <c:v>3.1433476490533449E-2</c:v>
              </c:pt>
              <c:pt idx="1">
                <c:v>3.1783856858928455E-2</c:v>
              </c:pt>
            </c:numLit>
          </c:yVal>
          <c:smooth val="0"/>
          <c:extLst>
            <c:ext xmlns:c16="http://schemas.microsoft.com/office/drawing/2014/chart" uri="{C3380CC4-5D6E-409C-BE32-E72D297353CC}">
              <c16:uniqueId val="{00000029-80A6-4898-BA1B-CA5225561492}"/>
            </c:ext>
          </c:extLst>
        </c:ser>
        <c:ser>
          <c:idx val="35"/>
          <c:order val="35"/>
          <c:spPr>
            <a:ln w="3175">
              <a:solidFill>
                <a:srgbClr val="000000"/>
              </a:solidFill>
              <a:prstDash val="solid"/>
            </a:ln>
          </c:spPr>
          <c:marker>
            <c:symbol val="none"/>
          </c:marker>
          <c:xVal>
            <c:numLit>
              <c:formatCode>General</c:formatCode>
              <c:ptCount val="2"/>
              <c:pt idx="0">
                <c:v>8.4641902232748549</c:v>
              </c:pt>
              <c:pt idx="1">
                <c:v>8.4340062899612587</c:v>
              </c:pt>
            </c:numLit>
          </c:xVal>
          <c:yVal>
            <c:numLit>
              <c:formatCode>General</c:formatCode>
              <c:ptCount val="2"/>
              <c:pt idx="0">
                <c:v>3.1410146382283011E-2</c:v>
              </c:pt>
              <c:pt idx="1">
                <c:v>3.1584899126950818E-2</c:v>
              </c:pt>
            </c:numLit>
          </c:yVal>
          <c:smooth val="0"/>
          <c:extLst>
            <c:ext xmlns:c16="http://schemas.microsoft.com/office/drawing/2014/chart" uri="{C3380CC4-5D6E-409C-BE32-E72D297353CC}">
              <c16:uniqueId val="{0000002A-80A6-4898-BA1B-CA5225561492}"/>
            </c:ext>
          </c:extLst>
        </c:ser>
        <c:ser>
          <c:idx val="36"/>
          <c:order val="36"/>
          <c:spPr>
            <a:ln w="3175">
              <a:solidFill>
                <a:srgbClr val="000000"/>
              </a:solidFill>
              <a:prstDash val="solid"/>
            </a:ln>
          </c:spPr>
          <c:marker>
            <c:symbol val="none"/>
          </c:marker>
          <c:xVal>
            <c:numLit>
              <c:formatCode>General</c:formatCode>
              <c:ptCount val="2"/>
              <c:pt idx="0">
                <c:v>8.0078353569338034</c:v>
              </c:pt>
              <c:pt idx="1">
                <c:v>7.9303541828188209</c:v>
              </c:pt>
            </c:numLit>
          </c:xVal>
          <c:yVal>
            <c:numLit>
              <c:formatCode>General</c:formatCode>
              <c:ptCount val="2"/>
              <c:pt idx="0">
                <c:v>3.137924575851176E-2</c:v>
              </c:pt>
              <c:pt idx="1">
                <c:v>3.1727592474455953E-2</c:v>
              </c:pt>
            </c:numLit>
          </c:yVal>
          <c:smooth val="0"/>
          <c:extLst>
            <c:ext xmlns:c16="http://schemas.microsoft.com/office/drawing/2014/chart" uri="{C3380CC4-5D6E-409C-BE32-E72D297353CC}">
              <c16:uniqueId val="{0000002B-80A6-4898-BA1B-CA5225561492}"/>
            </c:ext>
          </c:extLst>
        </c:ser>
        <c:ser>
          <c:idx val="37"/>
          <c:order val="37"/>
          <c:spPr>
            <a:ln w="3175">
              <a:solidFill>
                <a:srgbClr val="000000"/>
              </a:solidFill>
              <a:prstDash val="solid"/>
            </a:ln>
          </c:spPr>
          <c:marker>
            <c:symbol val="none"/>
          </c:marker>
          <c:dLbls>
            <c:dLbl>
              <c:idx val="0"/>
              <c:tx>
                <c:rich>
                  <a:bodyPr rot="49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7.7495647765505291</c:v>
              </c:pt>
            </c:numLit>
          </c:xVal>
          <c:yVal>
            <c:numLit>
              <c:formatCode>General</c:formatCode>
              <c:ptCount val="1"/>
              <c:pt idx="0">
                <c:v>3.254040147832573E-2</c:v>
              </c:pt>
            </c:numLit>
          </c:yVal>
          <c:smooth val="0"/>
          <c:extLst>
            <c:ext xmlns:c16="http://schemas.microsoft.com/office/drawing/2014/chart" uri="{C3380CC4-5D6E-409C-BE32-E72D297353CC}">
              <c16:uniqueId val="{0000002D-80A6-4898-BA1B-CA5225561492}"/>
            </c:ext>
          </c:extLst>
        </c:ser>
        <c:ser>
          <c:idx val="38"/>
          <c:order val="38"/>
          <c:spPr>
            <a:ln w="3175">
              <a:solidFill>
                <a:srgbClr val="000000"/>
              </a:solidFill>
              <a:prstDash val="solid"/>
            </a:ln>
          </c:spPr>
          <c:marker>
            <c:symbol val="none"/>
          </c:marker>
          <c:xVal>
            <c:numLit>
              <c:formatCode>General</c:formatCode>
              <c:ptCount val="2"/>
              <c:pt idx="0">
                <c:v>7.5565505562805031</c:v>
              </c:pt>
              <c:pt idx="1">
                <c:v>7.5093483792107625</c:v>
              </c:pt>
            </c:numLit>
          </c:xVal>
          <c:yVal>
            <c:numLit>
              <c:formatCode>General</c:formatCode>
              <c:ptCount val="2"/>
              <c:pt idx="0">
                <c:v>3.1341001389471851E-2</c:v>
              </c:pt>
              <c:pt idx="1">
                <c:v>3.1514457665524444E-2</c:v>
              </c:pt>
            </c:numLit>
          </c:yVal>
          <c:smooth val="0"/>
          <c:extLst>
            <c:ext xmlns:c16="http://schemas.microsoft.com/office/drawing/2014/chart" uri="{C3380CC4-5D6E-409C-BE32-E72D297353CC}">
              <c16:uniqueId val="{0000002E-80A6-4898-BA1B-CA5225561492}"/>
            </c:ext>
          </c:extLst>
        </c:ser>
        <c:ser>
          <c:idx val="39"/>
          <c:order val="39"/>
          <c:spPr>
            <a:ln w="3175">
              <a:solidFill>
                <a:srgbClr val="000000"/>
              </a:solidFill>
              <a:prstDash val="solid"/>
            </a:ln>
          </c:spPr>
          <c:marker>
            <c:symbol val="none"/>
          </c:marker>
          <c:xVal>
            <c:numLit>
              <c:formatCode>General</c:formatCode>
              <c:ptCount val="2"/>
              <c:pt idx="0">
                <c:v>7.1113422709748857</c:v>
              </c:pt>
              <c:pt idx="1">
                <c:v>7.0002426061364433</c:v>
              </c:pt>
            </c:numLit>
          </c:xVal>
          <c:yVal>
            <c:numLit>
              <c:formatCode>General</c:formatCode>
              <c:ptCount val="2"/>
              <c:pt idx="0">
                <c:v>3.1295688396958433E-2</c:v>
              </c:pt>
              <c:pt idx="1">
                <c:v>3.1640901711844374E-2</c:v>
              </c:pt>
            </c:numLit>
          </c:yVal>
          <c:smooth val="0"/>
          <c:extLst>
            <c:ext xmlns:c16="http://schemas.microsoft.com/office/drawing/2014/chart" uri="{C3380CC4-5D6E-409C-BE32-E72D297353CC}">
              <c16:uniqueId val="{0000002F-80A6-4898-BA1B-CA5225561492}"/>
            </c:ext>
          </c:extLst>
        </c:ser>
        <c:ser>
          <c:idx val="40"/>
          <c:order val="40"/>
          <c:spPr>
            <a:ln w="3175">
              <a:solidFill>
                <a:srgbClr val="000000"/>
              </a:solidFill>
              <a:prstDash val="solid"/>
            </a:ln>
          </c:spPr>
          <c:marker>
            <c:symbol val="none"/>
          </c:marker>
          <c:xVal>
            <c:numLit>
              <c:formatCode>General</c:formatCode>
              <c:ptCount val="2"/>
              <c:pt idx="0">
                <c:v>6.6731462681499014</c:v>
              </c:pt>
              <c:pt idx="1">
                <c:v>6.6093802606777112</c:v>
              </c:pt>
            </c:numLit>
          </c:xVal>
          <c:yVal>
            <c:numLit>
              <c:formatCode>General</c:formatCode>
              <c:ptCount val="2"/>
              <c:pt idx="0">
                <c:v>3.1243624931081966E-2</c:v>
              </c:pt>
              <c:pt idx="1">
                <c:v>3.1415255398539753E-2</c:v>
              </c:pt>
            </c:numLit>
          </c:yVal>
          <c:smooth val="0"/>
          <c:extLst>
            <c:ext xmlns:c16="http://schemas.microsoft.com/office/drawing/2014/chart" uri="{C3380CC4-5D6E-409C-BE32-E72D297353CC}">
              <c16:uniqueId val="{00000030-80A6-4898-BA1B-CA5225561492}"/>
            </c:ext>
          </c:extLst>
        </c:ser>
        <c:ser>
          <c:idx val="41"/>
          <c:order val="41"/>
          <c:spPr>
            <a:ln w="3175">
              <a:solidFill>
                <a:srgbClr val="000000"/>
              </a:solidFill>
              <a:prstDash val="solid"/>
            </a:ln>
          </c:spPr>
          <c:marker>
            <c:symbol val="none"/>
          </c:marker>
          <c:xVal>
            <c:numLit>
              <c:formatCode>General</c:formatCode>
              <c:ptCount val="2"/>
              <c:pt idx="0">
                <c:v>6.242819436476525</c:v>
              </c:pt>
              <c:pt idx="1">
                <c:v>6.099150165344394</c:v>
              </c:pt>
            </c:numLit>
          </c:xVal>
          <c:yVal>
            <c:numLit>
              <c:formatCode>General</c:formatCode>
              <c:ptCount val="2"/>
              <c:pt idx="0">
                <c:v>3.1185166242459445E-2</c:v>
              </c:pt>
              <c:pt idx="1">
                <c:v>3.1526234976551673E-2</c:v>
              </c:pt>
            </c:numLit>
          </c:yVal>
          <c:smooth val="0"/>
          <c:extLst>
            <c:ext xmlns:c16="http://schemas.microsoft.com/office/drawing/2014/chart" uri="{C3380CC4-5D6E-409C-BE32-E72D297353CC}">
              <c16:uniqueId val="{00000031-80A6-4898-BA1B-CA5225561492}"/>
            </c:ext>
          </c:extLst>
        </c:ser>
        <c:ser>
          <c:idx val="42"/>
          <c:order val="42"/>
          <c:spPr>
            <a:ln w="3175">
              <a:solidFill>
                <a:srgbClr val="000000"/>
              </a:solidFill>
              <a:prstDash val="solid"/>
            </a:ln>
          </c:spPr>
          <c:marker>
            <c:symbol val="none"/>
          </c:marker>
          <c:dLbls>
            <c:dLbl>
              <c:idx val="0"/>
              <c:tx>
                <c:rich>
                  <a:bodyPr rot="45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5.7639218660360907</c:v>
              </c:pt>
            </c:numLit>
          </c:xVal>
          <c:yVal>
            <c:numLit>
              <c:formatCode>General</c:formatCode>
              <c:ptCount val="1"/>
              <c:pt idx="0">
                <c:v>3.2322062022766877E-2</c:v>
              </c:pt>
            </c:numLit>
          </c:yVal>
          <c:smooth val="0"/>
          <c:extLst>
            <c:ext xmlns:c16="http://schemas.microsoft.com/office/drawing/2014/chart" uri="{C3380CC4-5D6E-409C-BE32-E72D297353CC}">
              <c16:uniqueId val="{00000033-80A6-4898-BA1B-CA5225561492}"/>
            </c:ext>
          </c:extLst>
        </c:ser>
        <c:ser>
          <c:idx val="43"/>
          <c:order val="43"/>
          <c:spPr>
            <a:ln w="3175">
              <a:solidFill>
                <a:srgbClr val="000000"/>
              </a:solidFill>
              <a:prstDash val="solid"/>
            </a:ln>
          </c:spPr>
          <c:marker>
            <c:symbol val="none"/>
          </c:marker>
          <c:xVal>
            <c:numLit>
              <c:formatCode>General</c:formatCode>
              <c:ptCount val="2"/>
              <c:pt idx="0">
                <c:v>5.8211335458825326</c:v>
              </c:pt>
              <c:pt idx="1">
                <c:v>5.7413922998678295</c:v>
              </c:pt>
            </c:numLit>
          </c:xVal>
          <c:yVal>
            <c:numLit>
              <c:formatCode>General</c:formatCode>
              <c:ptCount val="2"/>
              <c:pt idx="0">
                <c:v>3.1120698355374388E-2</c:v>
              </c:pt>
              <c:pt idx="1">
                <c:v>3.1290023949537657E-2</c:v>
              </c:pt>
            </c:numLit>
          </c:yVal>
          <c:smooth val="0"/>
          <c:extLst>
            <c:ext xmlns:c16="http://schemas.microsoft.com/office/drawing/2014/chart" uri="{C3380CC4-5D6E-409C-BE32-E72D297353CC}">
              <c16:uniqueId val="{00000034-80A6-4898-BA1B-CA5225561492}"/>
            </c:ext>
          </c:extLst>
        </c:ser>
        <c:ser>
          <c:idx val="44"/>
          <c:order val="44"/>
          <c:spPr>
            <a:ln w="3175">
              <a:solidFill>
                <a:srgbClr val="000000"/>
              </a:solidFill>
              <a:prstDash val="solid"/>
            </a:ln>
          </c:spPr>
          <c:marker>
            <c:symbol val="none"/>
          </c:marker>
          <c:xVal>
            <c:numLit>
              <c:formatCode>General</c:formatCode>
              <c:ptCount val="2"/>
              <c:pt idx="0">
                <c:v>5.4087709949009444</c:v>
              </c:pt>
              <c:pt idx="1">
                <c:v>5.2338249072097298</c:v>
              </c:pt>
            </c:numLit>
          </c:xVal>
          <c:yVal>
            <c:numLit>
              <c:formatCode>General</c:formatCode>
              <c:ptCount val="2"/>
              <c:pt idx="0">
                <c:v>3.1050631547139242E-2</c:v>
              </c:pt>
              <c:pt idx="1">
                <c:v>3.1386655230156969E-2</c:v>
              </c:pt>
            </c:numLit>
          </c:yVal>
          <c:smooth val="0"/>
          <c:extLst>
            <c:ext xmlns:c16="http://schemas.microsoft.com/office/drawing/2014/chart" uri="{C3380CC4-5D6E-409C-BE32-E72D297353CC}">
              <c16:uniqueId val="{00000035-80A6-4898-BA1B-CA5225561492}"/>
            </c:ext>
          </c:extLst>
        </c:ser>
        <c:ser>
          <c:idx val="45"/>
          <c:order val="45"/>
          <c:spPr>
            <a:ln w="3175">
              <a:solidFill>
                <a:srgbClr val="000000"/>
              </a:solidFill>
              <a:prstDash val="solid"/>
            </a:ln>
          </c:spPr>
          <c:marker>
            <c:symbol val="none"/>
          </c:marker>
          <c:xVal>
            <c:numLit>
              <c:formatCode>General</c:formatCode>
              <c:ptCount val="2"/>
              <c:pt idx="0">
                <c:v>5.0063225019128463</c:v>
              </c:pt>
              <c:pt idx="1">
                <c:v>4.911303548823712</c:v>
              </c:pt>
            </c:numLit>
          </c:xVal>
          <c:yVal>
            <c:numLit>
              <c:formatCode>General</c:formatCode>
              <c:ptCount val="2"/>
              <c:pt idx="0">
                <c:v>3.09753938285619E-2</c:v>
              </c:pt>
              <c:pt idx="1">
                <c:v>3.1141994962847436E-2</c:v>
              </c:pt>
            </c:numLit>
          </c:yVal>
          <c:smooth val="0"/>
          <c:extLst>
            <c:ext xmlns:c16="http://schemas.microsoft.com/office/drawing/2014/chart" uri="{C3380CC4-5D6E-409C-BE32-E72D297353CC}">
              <c16:uniqueId val="{00000036-80A6-4898-BA1B-CA5225561492}"/>
            </c:ext>
          </c:extLst>
        </c:ser>
        <c:ser>
          <c:idx val="46"/>
          <c:order val="46"/>
          <c:spPr>
            <a:ln w="3175">
              <a:solidFill>
                <a:srgbClr val="000000"/>
              </a:solidFill>
              <a:prstDash val="solid"/>
            </a:ln>
          </c:spPr>
          <c:marker>
            <c:symbol val="none"/>
          </c:marker>
          <c:xVal>
            <c:numLit>
              <c:formatCode>General</c:formatCode>
              <c:ptCount val="2"/>
              <c:pt idx="0">
                <c:v>4.6142866306182313</c:v>
              </c:pt>
              <c:pt idx="1">
                <c:v>4.4095473792664146</c:v>
              </c:pt>
            </c:numLit>
          </c:xVal>
          <c:yVal>
            <c:numLit>
              <c:formatCode>General</c:formatCode>
              <c:ptCount val="2"/>
              <c:pt idx="0">
                <c:v>3.0895424601766797E-2</c:v>
              </c:pt>
              <c:pt idx="1">
                <c:v>3.1225628024333055E-2</c:v>
              </c:pt>
            </c:numLit>
          </c:yVal>
          <c:smooth val="0"/>
          <c:extLst>
            <c:ext xmlns:c16="http://schemas.microsoft.com/office/drawing/2014/chart" uri="{C3380CC4-5D6E-409C-BE32-E72D297353CC}">
              <c16:uniqueId val="{00000037-80A6-4898-BA1B-CA5225561492}"/>
            </c:ext>
          </c:extLst>
        </c:ser>
        <c:ser>
          <c:idx val="47"/>
          <c:order val="47"/>
          <c:spPr>
            <a:ln w="3175">
              <a:solidFill>
                <a:srgbClr val="000000"/>
              </a:solidFill>
              <a:prstDash val="solid"/>
            </a:ln>
          </c:spPr>
          <c:marker>
            <c:symbol val="none"/>
          </c:marker>
          <c:dLbls>
            <c:dLbl>
              <c:idx val="0"/>
              <c:tx>
                <c:rich>
                  <a:bodyPr rot="42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3.9318224594455105</c:v>
              </c:pt>
            </c:numLit>
          </c:xVal>
          <c:yVal>
            <c:numLit>
              <c:formatCode>General</c:formatCode>
              <c:ptCount val="1"/>
              <c:pt idx="0">
                <c:v>3.1996102676987645E-2</c:v>
              </c:pt>
            </c:numLit>
          </c:yVal>
          <c:smooth val="0"/>
          <c:extLst>
            <c:ext xmlns:c16="http://schemas.microsoft.com/office/drawing/2014/chart" uri="{C3380CC4-5D6E-409C-BE32-E72D297353CC}">
              <c16:uniqueId val="{00000039-80A6-4898-BA1B-CA5225561492}"/>
            </c:ext>
          </c:extLst>
        </c:ser>
        <c:ser>
          <c:idx val="48"/>
          <c:order val="48"/>
          <c:spPr>
            <a:ln w="3175">
              <a:solidFill>
                <a:srgbClr val="000000"/>
              </a:solidFill>
              <a:prstDash val="solid"/>
            </a:ln>
          </c:spPr>
          <c:marker>
            <c:symbol val="none"/>
          </c:marker>
          <c:xVal>
            <c:numLit>
              <c:formatCode>General</c:formatCode>
              <c:ptCount val="2"/>
              <c:pt idx="0">
                <c:v>4.2330709866447673</c:v>
              </c:pt>
              <c:pt idx="1">
                <c:v>4.1235535676443567</c:v>
              </c:pt>
            </c:numLit>
          </c:xVal>
          <c:yVal>
            <c:numLit>
              <c:formatCode>General</c:formatCode>
              <c:ptCount val="2"/>
              <c:pt idx="0">
                <c:v>3.0811168646751607E-2</c:v>
              </c:pt>
              <c:pt idx="1">
                <c:v>3.09746905588782E-2</c:v>
              </c:pt>
            </c:numLit>
          </c:yVal>
          <c:smooth val="0"/>
          <c:extLst>
            <c:ext xmlns:c16="http://schemas.microsoft.com/office/drawing/2014/chart" uri="{C3380CC4-5D6E-409C-BE32-E72D297353CC}">
              <c16:uniqueId val="{0000003A-80A6-4898-BA1B-CA5225561492}"/>
            </c:ext>
          </c:extLst>
        </c:ser>
        <c:ser>
          <c:idx val="49"/>
          <c:order val="49"/>
          <c:spPr>
            <a:ln w="3175">
              <a:solidFill>
                <a:srgbClr val="000000"/>
              </a:solidFill>
              <a:prstDash val="solid"/>
            </a:ln>
          </c:spPr>
          <c:marker>
            <c:symbol val="none"/>
          </c:marker>
          <c:xVal>
            <c:numLit>
              <c:formatCode>General</c:formatCode>
              <c:ptCount val="2"/>
              <c:pt idx="0">
                <c:v>3.8629948827503302</c:v>
              </c:pt>
              <c:pt idx="1">
                <c:v>3.6300821908534671</c:v>
              </c:pt>
            </c:numLit>
          </c:xVal>
          <c:yVal>
            <c:numLit>
              <c:formatCode>General</c:formatCode>
              <c:ptCount val="2"/>
              <c:pt idx="0">
                <c:v>3.0723070559236718E-2</c:v>
              </c:pt>
              <c:pt idx="1">
                <c:v>3.1046810705208094E-2</c:v>
              </c:pt>
            </c:numLit>
          </c:yVal>
          <c:smooth val="0"/>
          <c:extLst>
            <c:ext xmlns:c16="http://schemas.microsoft.com/office/drawing/2014/chart" uri="{C3380CC4-5D6E-409C-BE32-E72D297353CC}">
              <c16:uniqueId val="{0000003B-80A6-4898-BA1B-CA5225561492}"/>
            </c:ext>
          </c:extLst>
        </c:ser>
        <c:ser>
          <c:idx val="50"/>
          <c:order val="50"/>
          <c:spPr>
            <a:ln w="3175">
              <a:solidFill>
                <a:srgbClr val="000000"/>
              </a:solidFill>
              <a:prstDash val="solid"/>
            </a:ln>
          </c:spPr>
          <c:marker>
            <c:symbol val="none"/>
          </c:marker>
          <c:xVal>
            <c:numLit>
              <c:formatCode>General</c:formatCode>
              <c:ptCount val="2"/>
              <c:pt idx="0">
                <c:v>3.5042932448568997</c:v>
              </c:pt>
              <c:pt idx="1">
                <c:v>3.3811112431979664</c:v>
              </c:pt>
            </c:numLit>
          </c:xVal>
          <c:yVal>
            <c:numLit>
              <c:formatCode>General</c:formatCode>
              <c:ptCount val="2"/>
              <c:pt idx="0">
                <c:v>3.0631569731795334E-2</c:v>
              </c:pt>
              <c:pt idx="1">
                <c:v>3.0791724164266496E-2</c:v>
              </c:pt>
            </c:numLit>
          </c:yVal>
          <c:smooth val="0"/>
          <c:extLst>
            <c:ext xmlns:c16="http://schemas.microsoft.com/office/drawing/2014/chart" uri="{C3380CC4-5D6E-409C-BE32-E72D297353CC}">
              <c16:uniqueId val="{0000003C-80A6-4898-BA1B-CA5225561492}"/>
            </c:ext>
          </c:extLst>
        </c:ser>
        <c:ser>
          <c:idx val="51"/>
          <c:order val="51"/>
          <c:spPr>
            <a:ln w="3175">
              <a:solidFill>
                <a:srgbClr val="000000"/>
              </a:solidFill>
              <a:prstDash val="solid"/>
            </a:ln>
          </c:spPr>
          <c:marker>
            <c:symbol val="none"/>
          </c:marker>
          <c:xVal>
            <c:numLit>
              <c:formatCode>General</c:formatCode>
              <c:ptCount val="2"/>
              <c:pt idx="0">
                <c:v>3.1571215194201248</c:v>
              </c:pt>
              <c:pt idx="1">
                <c:v>2.8977385763983787</c:v>
              </c:pt>
            </c:numLit>
          </c:xVal>
          <c:yVal>
            <c:numLit>
              <c:formatCode>General</c:formatCode>
              <c:ptCount val="2"/>
              <c:pt idx="0">
                <c:v>3.0537095939913748E-2</c:v>
              </c:pt>
              <c:pt idx="1">
                <c:v>3.0853862037660513E-2</c:v>
              </c:pt>
            </c:numLit>
          </c:yVal>
          <c:smooth val="0"/>
          <c:extLst>
            <c:ext xmlns:c16="http://schemas.microsoft.com/office/drawing/2014/chart" uri="{C3380CC4-5D6E-409C-BE32-E72D297353CC}">
              <c16:uniqueId val="{0000003D-80A6-4898-BA1B-CA5225561492}"/>
            </c:ext>
          </c:extLst>
        </c:ser>
        <c:ser>
          <c:idx val="52"/>
          <c:order val="52"/>
          <c:spPr>
            <a:ln w="3175">
              <a:solidFill>
                <a:srgbClr val="000000"/>
              </a:solidFill>
              <a:prstDash val="solid"/>
            </a:ln>
          </c:spPr>
          <c:marker>
            <c:symbol val="none"/>
          </c:marker>
          <c:dLbls>
            <c:dLbl>
              <c:idx val="0"/>
              <c:tx>
                <c:rich>
                  <a:bodyPr rot="38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2.2925117093476404</c:v>
              </c:pt>
            </c:numLit>
          </c:xVal>
          <c:yVal>
            <c:numLit>
              <c:formatCode>General</c:formatCode>
              <c:ptCount val="1"/>
              <c:pt idx="0">
                <c:v>3.1592982932402966E-2</c:v>
              </c:pt>
            </c:numLit>
          </c:yVal>
          <c:smooth val="0"/>
          <c:extLst>
            <c:ext xmlns:c16="http://schemas.microsoft.com/office/drawing/2014/chart" uri="{C3380CC4-5D6E-409C-BE32-E72D297353CC}">
              <c16:uniqueId val="{0000003F-80A6-4898-BA1B-CA5225561492}"/>
            </c:ext>
          </c:extLst>
        </c:ser>
        <c:ser>
          <c:idx val="53"/>
          <c:order val="53"/>
          <c:spPr>
            <a:ln w="3175">
              <a:solidFill>
                <a:srgbClr val="000000"/>
              </a:solidFill>
              <a:prstDash val="solid"/>
            </a:ln>
          </c:spPr>
          <c:marker>
            <c:symbol val="none"/>
          </c:marker>
          <c:xVal>
            <c:numLit>
              <c:formatCode>General</c:formatCode>
              <c:ptCount val="2"/>
              <c:pt idx="0">
                <c:v>2.8215613428637392</c:v>
              </c:pt>
              <c:pt idx="1">
                <c:v>2.6855781180424341</c:v>
              </c:pt>
            </c:numLit>
          </c:xVal>
          <c:yVal>
            <c:numLit>
              <c:formatCode>General</c:formatCode>
              <c:ptCount val="2"/>
              <c:pt idx="0">
                <c:v>3.0440065566149834E-2</c:v>
              </c:pt>
              <c:pt idx="1">
                <c:v>3.0596629295515144E-2</c:v>
              </c:pt>
            </c:numLit>
          </c:yVal>
          <c:smooth val="0"/>
          <c:extLst>
            <c:ext xmlns:c16="http://schemas.microsoft.com/office/drawing/2014/chart" uri="{C3380CC4-5D6E-409C-BE32-E72D297353CC}">
              <c16:uniqueId val="{00000040-80A6-4898-BA1B-CA5225561492}"/>
            </c:ext>
          </c:extLst>
        </c:ser>
        <c:ser>
          <c:idx val="54"/>
          <c:order val="54"/>
          <c:spPr>
            <a:ln w="3175">
              <a:solidFill>
                <a:srgbClr val="000000"/>
              </a:solidFill>
              <a:prstDash val="solid"/>
            </a:ln>
          </c:spPr>
          <c:marker>
            <c:symbol val="none"/>
          </c:marker>
          <c:xVal>
            <c:numLit>
              <c:formatCode>General</c:formatCode>
              <c:ptCount val="2"/>
              <c:pt idx="0">
                <c:v>2.4976267439569462</c:v>
              </c:pt>
              <c:pt idx="1">
                <c:v>2.2135127468553311</c:v>
              </c:pt>
            </c:numLit>
          </c:xVal>
          <c:yVal>
            <c:numLit>
              <c:formatCode>General</c:formatCode>
              <c:ptCount val="2"/>
              <c:pt idx="0">
                <c:v>3.0340878470143013E-2</c:v>
              </c:pt>
              <c:pt idx="1">
                <c:v>3.065028641277338E-2</c:v>
              </c:pt>
            </c:numLit>
          </c:yVal>
          <c:smooth val="0"/>
          <c:extLst>
            <c:ext xmlns:c16="http://schemas.microsoft.com/office/drawing/2014/chart" uri="{C3380CC4-5D6E-409C-BE32-E72D297353CC}">
              <c16:uniqueId val="{00000041-80A6-4898-BA1B-CA5225561492}"/>
            </c:ext>
          </c:extLst>
        </c:ser>
        <c:ser>
          <c:idx val="55"/>
          <c:order val="55"/>
          <c:spPr>
            <a:ln w="3175">
              <a:solidFill>
                <a:srgbClr val="000000"/>
              </a:solidFill>
              <a:prstDash val="solid"/>
            </a:ln>
          </c:spPr>
          <c:marker>
            <c:symbol val="none"/>
          </c:marker>
          <c:xVal>
            <c:numLit>
              <c:formatCode>General</c:formatCode>
              <c:ptCount val="2"/>
              <c:pt idx="0">
                <c:v>2.1852706678037492</c:v>
              </c:pt>
              <c:pt idx="1">
                <c:v>2.0373569928250692</c:v>
              </c:pt>
            </c:numLit>
          </c:xVal>
          <c:yVal>
            <c:numLit>
              <c:formatCode>General</c:formatCode>
              <c:ptCount val="2"/>
              <c:pt idx="0">
                <c:v>3.0239915490664467E-2</c:v>
              </c:pt>
              <c:pt idx="1">
                <c:v>3.0392726406114425E-2</c:v>
              </c:pt>
            </c:numLit>
          </c:yVal>
          <c:smooth val="0"/>
          <c:extLst>
            <c:ext xmlns:c16="http://schemas.microsoft.com/office/drawing/2014/chart" uri="{C3380CC4-5D6E-409C-BE32-E72D297353CC}">
              <c16:uniqueId val="{00000042-80A6-4898-BA1B-CA5225561492}"/>
            </c:ext>
          </c:extLst>
        </c:ser>
        <c:ser>
          <c:idx val="56"/>
          <c:order val="56"/>
          <c:spPr>
            <a:ln w="3175">
              <a:solidFill>
                <a:srgbClr val="000000"/>
              </a:solidFill>
              <a:prstDash val="solid"/>
            </a:ln>
          </c:spPr>
          <c:marker>
            <c:symbol val="none"/>
          </c:marker>
          <c:xVal>
            <c:numLit>
              <c:formatCode>General</c:formatCode>
              <c:ptCount val="2"/>
              <c:pt idx="0">
                <c:v>1.8843916332377137</c:v>
              </c:pt>
              <c:pt idx="1">
                <c:v>1.5772813194841273</c:v>
              </c:pt>
            </c:numLit>
          </c:xVal>
          <c:yVal>
            <c:numLit>
              <c:formatCode>General</c:formatCode>
              <c:ptCount val="2"/>
              <c:pt idx="0">
                <c:v>3.013753654856886E-2</c:v>
              </c:pt>
              <c:pt idx="1">
                <c:v>3.0439319169140191E-2</c:v>
              </c:pt>
            </c:numLit>
          </c:yVal>
          <c:smooth val="0"/>
          <c:extLst>
            <c:ext xmlns:c16="http://schemas.microsoft.com/office/drawing/2014/chart" uri="{C3380CC4-5D6E-409C-BE32-E72D297353CC}">
              <c16:uniqueId val="{00000043-80A6-4898-BA1B-CA5225561492}"/>
            </c:ext>
          </c:extLst>
        </c:ser>
        <c:ser>
          <c:idx val="57"/>
          <c:order val="57"/>
          <c:spPr>
            <a:ln w="3175">
              <a:solidFill>
                <a:srgbClr val="000000"/>
              </a:solidFill>
              <a:prstDash val="solid"/>
            </a:ln>
          </c:spPr>
          <c:marker>
            <c:symbol val="none"/>
          </c:marker>
          <c:dLbls>
            <c:dLbl>
              <c:idx val="0"/>
              <c:tx>
                <c:rich>
                  <a:bodyPr rot="35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0.86069058739242799</c:v>
              </c:pt>
            </c:numLit>
          </c:xVal>
          <c:yVal>
            <c:numLit>
              <c:formatCode>General</c:formatCode>
              <c:ptCount val="1"/>
              <c:pt idx="0">
                <c:v>3.1143478617139966E-2</c:v>
              </c:pt>
            </c:numLit>
          </c:yVal>
          <c:smooth val="0"/>
          <c:extLst>
            <c:ext xmlns:c16="http://schemas.microsoft.com/office/drawing/2014/chart" uri="{C3380CC4-5D6E-409C-BE32-E72D297353CC}">
              <c16:uniqueId val="{00000045-80A6-4898-BA1B-CA5225561492}"/>
            </c:ext>
          </c:extLst>
        </c:ser>
        <c:ser>
          <c:idx val="58"/>
          <c:order val="58"/>
          <c:spPr>
            <a:ln w="3175">
              <a:solidFill>
                <a:srgbClr val="000000"/>
              </a:solidFill>
              <a:prstDash val="solid"/>
            </a:ln>
          </c:spPr>
          <c:marker>
            <c:symbol val="none"/>
          </c:marker>
          <c:xVal>
            <c:numLit>
              <c:formatCode>General</c:formatCode>
              <c:ptCount val="2"/>
              <c:pt idx="0">
                <c:v>1.5948403617187026</c:v>
              </c:pt>
              <c:pt idx="1">
                <c:v>1.435856118500928</c:v>
              </c:pt>
            </c:numLit>
          </c:xVal>
          <c:yVal>
            <c:numLit>
              <c:formatCode>General</c:formatCode>
              <c:ptCount val="2"/>
              <c:pt idx="0">
                <c:v>3.0034079306466045E-2</c:v>
              </c:pt>
              <c:pt idx="1">
                <c:v>3.0183030793462285E-2</c:v>
              </c:pt>
            </c:numLit>
          </c:yVal>
          <c:smooth val="0"/>
          <c:extLst>
            <c:ext xmlns:c16="http://schemas.microsoft.com/office/drawing/2014/chart" uri="{C3380CC4-5D6E-409C-BE32-E72D297353CC}">
              <c16:uniqueId val="{00000046-80A6-4898-BA1B-CA5225561492}"/>
            </c:ext>
          </c:extLst>
        </c:ser>
        <c:ser>
          <c:idx val="59"/>
          <c:order val="59"/>
          <c:spPr>
            <a:ln w="3175">
              <a:solidFill>
                <a:srgbClr val="000000"/>
              </a:solidFill>
              <a:prstDash val="solid"/>
            </a:ln>
          </c:spPr>
          <c:marker>
            <c:symbol val="none"/>
          </c:marker>
          <c:xVal>
            <c:numLit>
              <c:formatCode>General</c:formatCode>
              <c:ptCount val="2"/>
              <c:pt idx="0">
                <c:v>1.3164262434224625</c:v>
              </c:pt>
              <c:pt idx="1">
                <c:v>0.98801722755080412</c:v>
              </c:pt>
            </c:numLit>
          </c:xVal>
          <c:yVal>
            <c:numLit>
              <c:formatCode>General</c:formatCode>
              <c:ptCount val="2"/>
              <c:pt idx="0">
                <c:v>2.9929858331954329E-2</c:v>
              </c:pt>
              <c:pt idx="1">
                <c:v>3.0223853019402617E-2</c:v>
              </c:pt>
            </c:numLit>
          </c:yVal>
          <c:smooth val="0"/>
          <c:extLst>
            <c:ext xmlns:c16="http://schemas.microsoft.com/office/drawing/2014/chart" uri="{C3380CC4-5D6E-409C-BE32-E72D297353CC}">
              <c16:uniqueId val="{00000047-80A6-4898-BA1B-CA5225561492}"/>
            </c:ext>
          </c:extLst>
        </c:ser>
        <c:ser>
          <c:idx val="60"/>
          <c:order val="60"/>
          <c:spPr>
            <a:ln w="3175">
              <a:solidFill>
                <a:srgbClr val="000000"/>
              </a:solidFill>
              <a:prstDash val="solid"/>
            </a:ln>
          </c:spPr>
          <c:marker>
            <c:symbol val="none"/>
          </c:marker>
          <c:xVal>
            <c:numLit>
              <c:formatCode>General</c:formatCode>
              <c:ptCount val="2"/>
              <c:pt idx="0">
                <c:v>1.0489235335545537</c:v>
              </c:pt>
              <c:pt idx="1">
                <c:v>0.87970334980870113</c:v>
              </c:pt>
            </c:numLit>
          </c:xVal>
          <c:yVal>
            <c:numLit>
              <c:formatCode>General</c:formatCode>
              <c:ptCount val="2"/>
              <c:pt idx="0">
                <c:v>2.9825164705939985E-2</c:v>
              </c:pt>
              <c:pt idx="1">
                <c:v>2.9970199044176356E-2</c:v>
              </c:pt>
            </c:numLit>
          </c:yVal>
          <c:smooth val="0"/>
          <c:extLst>
            <c:ext xmlns:c16="http://schemas.microsoft.com/office/drawing/2014/chart" uri="{C3380CC4-5D6E-409C-BE32-E72D297353CC}">
              <c16:uniqueId val="{00000048-80A6-4898-BA1B-CA5225561492}"/>
            </c:ext>
          </c:extLst>
        </c:ser>
        <c:ser>
          <c:idx val="61"/>
          <c:order val="61"/>
          <c:spPr>
            <a:ln w="3175">
              <a:solidFill>
                <a:srgbClr val="000000"/>
              </a:solidFill>
              <a:prstDash val="solid"/>
            </a:ln>
          </c:spPr>
          <c:marker>
            <c:symbol val="none"/>
          </c:marker>
          <c:xVal>
            <c:numLit>
              <c:formatCode>General</c:formatCode>
              <c:ptCount val="2"/>
              <c:pt idx="0">
                <c:v>0.79207719782194097</c:v>
              </c:pt>
              <c:pt idx="1">
                <c:v>0.44400509274026295</c:v>
              </c:pt>
            </c:numLit>
          </c:xVal>
          <c:yVal>
            <c:numLit>
              <c:formatCode>General</c:formatCode>
              <c:ptCount val="2"/>
              <c:pt idx="0">
                <c:v>2.9720266015387919E-2</c:v>
              </c:pt>
              <c:pt idx="1">
                <c:v>3.0006400990964965E-2</c:v>
              </c:pt>
            </c:numLit>
          </c:yVal>
          <c:smooth val="0"/>
          <c:extLst>
            <c:ext xmlns:c16="http://schemas.microsoft.com/office/drawing/2014/chart" uri="{C3380CC4-5D6E-409C-BE32-E72D297353CC}">
              <c16:uniqueId val="{00000049-80A6-4898-BA1B-CA5225561492}"/>
            </c:ext>
          </c:extLst>
        </c:ser>
        <c:ser>
          <c:idx val="62"/>
          <c:order val="62"/>
          <c:spPr>
            <a:ln w="3175">
              <a:solidFill>
                <a:srgbClr val="000000"/>
              </a:solidFill>
              <a:prstDash val="solid"/>
            </a:ln>
          </c:spPr>
          <c:marker>
            <c:symbol val="none"/>
          </c:marker>
          <c:dLbls>
            <c:dLbl>
              <c:idx val="0"/>
              <c:tx>
                <c:rich>
                  <a:bodyPr rot="33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-0.36816315245031639</c:v>
              </c:pt>
            </c:numLit>
          </c:xVal>
          <c:yVal>
            <c:numLit>
              <c:formatCode>General</c:formatCode>
              <c:ptCount val="1"/>
              <c:pt idx="0">
                <c:v>3.0674049267311407E-2</c:v>
              </c:pt>
            </c:numLit>
          </c:yVal>
          <c:smooth val="0"/>
          <c:extLst>
            <c:ext xmlns:c16="http://schemas.microsoft.com/office/drawing/2014/chart" uri="{C3380CC4-5D6E-409C-BE32-E72D297353CC}">
              <c16:uniqueId val="{0000004B-80A6-4898-BA1B-CA5225561492}"/>
            </c:ext>
          </c:extLst>
        </c:ser>
        <c:ser>
          <c:idx val="63"/>
          <c:order val="63"/>
          <c:spPr>
            <a:ln w="3175">
              <a:solidFill>
                <a:srgbClr val="000000"/>
              </a:solidFill>
              <a:prstDash val="solid"/>
            </a:ln>
          </c:spPr>
          <c:marker>
            <c:symbol val="none"/>
          </c:marker>
          <c:xVal>
            <c:numLit>
              <c:formatCode>General</c:formatCode>
              <c:ptCount val="2"/>
              <c:pt idx="0">
                <c:v>0.54560834962721927</c:v>
              </c:pt>
              <c:pt idx="1">
                <c:v>0.36695100618272919</c:v>
              </c:pt>
            </c:numLit>
          </c:xVal>
          <c:yVal>
            <c:numLit>
              <c:formatCode>General</c:formatCode>
              <c:ptCount val="2"/>
              <c:pt idx="0">
                <c:v>2.9615406670232238E-2</c:v>
              </c:pt>
              <c:pt idx="1">
                <c:v>2.9756508045299092E-2</c:v>
              </c:pt>
            </c:numLit>
          </c:yVal>
          <c:smooth val="0"/>
          <c:extLst>
            <c:ext xmlns:c16="http://schemas.microsoft.com/office/drawing/2014/chart" uri="{C3380CC4-5D6E-409C-BE32-E72D297353CC}">
              <c16:uniqueId val="{0000004C-80A6-4898-BA1B-CA5225561492}"/>
            </c:ext>
          </c:extLst>
        </c:ser>
        <c:ser>
          <c:idx val="64"/>
          <c:order val="64"/>
          <c:spPr>
            <a:ln w="3175">
              <a:solidFill>
                <a:srgbClr val="000000"/>
              </a:solidFill>
              <a:prstDash val="solid"/>
            </a:ln>
          </c:spPr>
          <c:marker>
            <c:symbol val="none"/>
          </c:marker>
          <c:xVal>
            <c:numLit>
              <c:formatCode>General</c:formatCode>
              <c:ptCount val="2"/>
              <c:pt idx="0">
                <c:v>0.30921924239530263</c:v>
              </c:pt>
              <c:pt idx="1">
                <c:v>-5.6960036014874385E-2</c:v>
              </c:pt>
            </c:numLit>
          </c:xVal>
          <c:yVal>
            <c:numLit>
              <c:formatCode>General</c:formatCode>
              <c:ptCount val="2"/>
              <c:pt idx="0">
                <c:v>2.9510808486546143E-2</c:v>
              </c:pt>
              <c:pt idx="1">
                <c:v>2.9789088804791624E-2</c:v>
              </c:pt>
            </c:numLit>
          </c:yVal>
          <c:smooth val="0"/>
          <c:extLst>
            <c:ext xmlns:c16="http://schemas.microsoft.com/office/drawing/2014/chart" uri="{C3380CC4-5D6E-409C-BE32-E72D297353CC}">
              <c16:uniqueId val="{0000004D-80A6-4898-BA1B-CA5225561492}"/>
            </c:ext>
          </c:extLst>
        </c:ser>
        <c:ser>
          <c:idx val="65"/>
          <c:order val="65"/>
          <c:spPr>
            <a:ln w="3175">
              <a:solidFill>
                <a:srgbClr val="000000"/>
              </a:solidFill>
              <a:prstDash val="solid"/>
            </a:ln>
          </c:spPr>
          <c:marker>
            <c:symbol val="none"/>
          </c:marker>
          <c:xVal>
            <c:numLit>
              <c:formatCode>General</c:formatCode>
              <c:ptCount val="2"/>
              <c:pt idx="0">
                <c:v>8.2597798252372456E-2</c:v>
              </c:pt>
              <c:pt idx="1">
                <c:v>-0.104740993030396</c:v>
              </c:pt>
            </c:numLit>
          </c:xVal>
          <c:yVal>
            <c:numLit>
              <c:formatCode>General</c:formatCode>
              <c:ptCount val="2"/>
              <c:pt idx="0">
                <c:v>2.9406671481887747E-2</c:v>
              </c:pt>
              <c:pt idx="1">
                <c:v>2.9543859072173141E-2</c:v>
              </c:pt>
            </c:numLit>
          </c:yVal>
          <c:smooth val="0"/>
          <c:extLst>
            <c:ext xmlns:c16="http://schemas.microsoft.com/office/drawing/2014/chart" uri="{C3380CC4-5D6E-409C-BE32-E72D297353CC}">
              <c16:uniqueId val="{0000004E-80A6-4898-BA1B-CA5225561492}"/>
            </c:ext>
          </c:extLst>
        </c:ser>
        <c:ser>
          <c:idx val="66"/>
          <c:order val="66"/>
          <c:spPr>
            <a:ln w="3175">
              <a:solidFill>
                <a:srgbClr val="000000"/>
              </a:solidFill>
              <a:prstDash val="solid"/>
            </a:ln>
          </c:spPr>
          <c:marker>
            <c:symbol val="none"/>
          </c:marker>
          <c:xVal>
            <c:numLit>
              <c:formatCode>General</c:formatCode>
              <c:ptCount val="2"/>
              <c:pt idx="0">
                <c:v>-0.13457833098479099</c:v>
              </c:pt>
              <c:pt idx="1">
                <c:v>-0.51740001839672156</c:v>
              </c:pt>
            </c:numLit>
          </c:xVal>
          <c:yVal>
            <c:numLit>
              <c:formatCode>General</c:formatCode>
              <c:ptCount val="2"/>
              <c:pt idx="0">
                <c:v>2.9303174833518776E-2</c:v>
              </c:pt>
              <c:pt idx="1">
                <c:v>2.9573668889775733E-2</c:v>
              </c:pt>
            </c:numLit>
          </c:yVal>
          <c:smooth val="0"/>
          <c:extLst>
            <c:ext xmlns:c16="http://schemas.microsoft.com/office/drawing/2014/chart" uri="{C3380CC4-5D6E-409C-BE32-E72D297353CC}">
              <c16:uniqueId val="{0000004F-80A6-4898-BA1B-CA5225561492}"/>
            </c:ext>
          </c:extLst>
        </c:ser>
        <c:ser>
          <c:idx val="67"/>
          <c:order val="67"/>
          <c:spPr>
            <a:ln w="3175">
              <a:solidFill>
                <a:srgbClr val="000000"/>
              </a:solidFill>
              <a:prstDash val="solid"/>
            </a:ln>
          </c:spPr>
          <c:marker>
            <c:symbol val="none"/>
          </c:marker>
          <c:dLbls>
            <c:dLbl>
              <c:idx val="0"/>
              <c:tx>
                <c:rich>
                  <a:bodyPr rot="30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-1.4106506223578898</c:v>
              </c:pt>
            </c:numLit>
          </c:xVal>
          <c:yVal>
            <c:numLit>
              <c:formatCode>General</c:formatCode>
              <c:ptCount val="1"/>
              <c:pt idx="0">
                <c:v>3.0204821687708626E-2</c:v>
              </c:pt>
            </c:numLit>
          </c:yVal>
          <c:smooth val="0"/>
          <c:extLst>
            <c:ext xmlns:c16="http://schemas.microsoft.com/office/drawing/2014/chart" uri="{C3380CC4-5D6E-409C-BE32-E72D297353CC}">
              <c16:uniqueId val="{00000051-80A6-4898-BA1B-CA5225561492}"/>
            </c:ext>
          </c:extLst>
        </c:ser>
        <c:ser>
          <c:idx val="68"/>
          <c:order val="68"/>
          <c:spPr>
            <a:ln w="3175">
              <a:solidFill>
                <a:srgbClr val="000000"/>
              </a:solidFill>
              <a:prstDash val="solid"/>
            </a:ln>
          </c:spPr>
          <c:marker>
            <c:symbol val="none"/>
          </c:marker>
          <c:xVal>
            <c:numLit>
              <c:formatCode>General</c:formatCode>
              <c:ptCount val="2"/>
              <c:pt idx="0">
                <c:v>-0.34263816276119208</c:v>
              </c:pt>
              <c:pt idx="1">
                <c:v>-0.53795012831296485</c:v>
              </c:pt>
            </c:numLit>
          </c:xVal>
          <c:yVal>
            <c:numLit>
              <c:formatCode>General</c:formatCode>
              <c:ptCount val="2"/>
              <c:pt idx="0">
                <c:v>2.9200477955527198E-2</c:v>
              </c:pt>
              <c:pt idx="1">
                <c:v>2.9333799417193333E-2</c:v>
              </c:pt>
            </c:numLit>
          </c:yVal>
          <c:smooth val="0"/>
          <c:extLst>
            <c:ext xmlns:c16="http://schemas.microsoft.com/office/drawing/2014/chart" uri="{C3380CC4-5D6E-409C-BE32-E72D297353CC}">
              <c16:uniqueId val="{00000052-80A6-4898-BA1B-CA5225561492}"/>
            </c:ext>
          </c:extLst>
        </c:ser>
        <c:ser>
          <c:idx val="69"/>
          <c:order val="69"/>
          <c:spPr>
            <a:ln w="3175">
              <a:solidFill>
                <a:srgbClr val="000000"/>
              </a:solidFill>
              <a:prstDash val="solid"/>
            </a:ln>
          </c:spPr>
          <c:marker>
            <c:symbol val="none"/>
          </c:marker>
          <c:xVal>
            <c:numLit>
              <c:formatCode>General</c:formatCode>
              <c:ptCount val="2"/>
              <c:pt idx="0">
                <c:v>-0.54191422585842908</c:v>
              </c:pt>
              <c:pt idx="1">
                <c:v>-0.94001100932812109</c:v>
              </c:pt>
            </c:numLit>
          </c:xVal>
          <c:yVal>
            <c:numLit>
              <c:formatCode>General</c:formatCode>
              <c:ptCount val="2"/>
              <c:pt idx="0">
                <c:v>2.9098721656437745E-2</c:v>
              </c:pt>
              <c:pt idx="1">
                <c:v>2.9361548718554162E-2</c:v>
              </c:pt>
            </c:numLit>
          </c:yVal>
          <c:smooth val="0"/>
          <c:extLst>
            <c:ext xmlns:c16="http://schemas.microsoft.com/office/drawing/2014/chart" uri="{C3380CC4-5D6E-409C-BE32-E72D297353CC}">
              <c16:uniqueId val="{00000053-80A6-4898-BA1B-CA5225561492}"/>
            </c:ext>
          </c:extLst>
        </c:ser>
        <c:ser>
          <c:idx val="70"/>
          <c:order val="70"/>
          <c:spPr>
            <a:ln w="3175">
              <a:solidFill>
                <a:srgbClr val="000000"/>
              </a:solidFill>
              <a:prstDash val="solid"/>
            </a:ln>
          </c:spPr>
          <c:marker>
            <c:symbol val="none"/>
          </c:marker>
          <c:xVal>
            <c:numLit>
              <c:formatCode>General</c:formatCode>
              <c:ptCount val="2"/>
              <c:pt idx="0">
                <c:v>-0.73273982212147359</c:v>
              </c:pt>
              <c:pt idx="1">
                <c:v>-0.93536619378625174</c:v>
              </c:pt>
            </c:numLit>
          </c:xVal>
          <c:yVal>
            <c:numLit>
              <c:formatCode>General</c:formatCode>
              <c:ptCount val="2"/>
              <c:pt idx="0">
                <c:v>2.8998029344407154E-2</c:v>
              </c:pt>
              <c:pt idx="1">
                <c:v>2.9127554894614788E-2</c:v>
              </c:pt>
            </c:numLit>
          </c:yVal>
          <c:smooth val="0"/>
          <c:extLst>
            <c:ext xmlns:c16="http://schemas.microsoft.com/office/drawing/2014/chart" uri="{C3380CC4-5D6E-409C-BE32-E72D297353CC}">
              <c16:uniqueId val="{00000054-80A6-4898-BA1B-CA5225561492}"/>
            </c:ext>
          </c:extLst>
        </c:ser>
        <c:ser>
          <c:idx val="71"/>
          <c:order val="71"/>
          <c:spPr>
            <a:ln w="3175">
              <a:solidFill>
                <a:srgbClr val="000000"/>
              </a:solidFill>
              <a:prstDash val="solid"/>
            </a:ln>
          </c:spPr>
          <c:marker>
            <c:symbol val="none"/>
          </c:marker>
          <c:xVal>
            <c:numLit>
              <c:formatCode>General</c:formatCode>
              <c:ptCount val="2"/>
              <c:pt idx="0">
                <c:v>-0.91544667980728711</c:v>
              </c:pt>
              <c:pt idx="1">
                <c:v>-1.3275509303000614</c:v>
              </c:pt>
            </c:numLit>
          </c:xVal>
          <c:yVal>
            <c:numLit>
              <c:formatCode>General</c:formatCode>
              <c:ptCount val="2"/>
              <c:pt idx="0">
                <c:v>2.8898508252380977E-2</c:v>
              </c:pt>
              <c:pt idx="1">
                <c:v>2.9153827311845262E-2</c:v>
              </c:pt>
            </c:numLit>
          </c:yVal>
          <c:smooth val="0"/>
          <c:extLst>
            <c:ext xmlns:c16="http://schemas.microsoft.com/office/drawing/2014/chart" uri="{C3380CC4-5D6E-409C-BE32-E72D297353CC}">
              <c16:uniqueId val="{00000055-80A6-4898-BA1B-CA5225561492}"/>
            </c:ext>
          </c:extLst>
        </c:ser>
        <c:ser>
          <c:idx val="72"/>
          <c:order val="72"/>
          <c:spPr>
            <a:ln w="3175">
              <a:solidFill>
                <a:srgbClr val="000000"/>
              </a:solidFill>
              <a:prstDash val="solid"/>
            </a:ln>
          </c:spPr>
          <c:marker>
            <c:symbol val="none"/>
          </c:marker>
          <c:dLbls>
            <c:dLbl>
              <c:idx val="0"/>
              <c:tx>
                <c:rich>
                  <a:bodyPr rot="28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-2.289127514783198</c:v>
              </c:pt>
            </c:numLit>
          </c:xVal>
          <c:yVal>
            <c:numLit>
              <c:formatCode>General</c:formatCode>
              <c:ptCount val="1"/>
              <c:pt idx="0">
                <c:v>2.9749571783928598E-2</c:v>
              </c:pt>
            </c:numLit>
          </c:yVal>
          <c:smooth val="0"/>
          <c:extLst>
            <c:ext xmlns:c16="http://schemas.microsoft.com/office/drawing/2014/chart" uri="{C3380CC4-5D6E-409C-BE32-E72D297353CC}">
              <c16:uniqueId val="{00000057-80A6-4898-BA1B-CA5225561492}"/>
            </c:ext>
          </c:extLst>
        </c:ser>
        <c:ser>
          <c:idx val="73"/>
          <c:order val="73"/>
          <c:spPr>
            <a:ln w="3175">
              <a:solidFill>
                <a:srgbClr val="000000"/>
              </a:solidFill>
              <a:prstDash val="solid"/>
            </a:ln>
          </c:spPr>
          <c:marker>
            <c:symbol val="none"/>
          </c:marker>
          <c:xVal>
            <c:numLit>
              <c:formatCode>General</c:formatCode>
              <c:ptCount val="2"/>
              <c:pt idx="0">
                <c:v>-1.2578116379333117</c:v>
              </c:pt>
              <c:pt idx="1">
                <c:v>-1.4702831061445618</c:v>
              </c:pt>
            </c:numLit>
          </c:xVal>
          <c:yVal>
            <c:numLit>
              <c:formatCode>General</c:formatCode>
              <c:ptCount val="2"/>
              <c:pt idx="0">
                <c:v>2.8703335097554711E-2</c:v>
              </c:pt>
              <c:pt idx="1">
                <c:v>2.882733513063386E-2</c:v>
              </c:pt>
            </c:numLit>
          </c:yVal>
          <c:smooth val="0"/>
          <c:extLst>
            <c:ext xmlns:c16="http://schemas.microsoft.com/office/drawing/2014/chart" uri="{C3380CC4-5D6E-409C-BE32-E72D297353CC}">
              <c16:uniqueId val="{00000058-80A6-4898-BA1B-CA5225561492}"/>
            </c:ext>
          </c:extLst>
        </c:ser>
        <c:ser>
          <c:idx val="74"/>
          <c:order val="74"/>
          <c:spPr>
            <a:ln w="3175">
              <a:solidFill>
                <a:srgbClr val="000000"/>
              </a:solidFill>
              <a:prstDash val="solid"/>
            </a:ln>
          </c:spPr>
          <c:marker>
            <c:symbol val="none"/>
          </c:marker>
          <c:xVal>
            <c:numLit>
              <c:formatCode>General</c:formatCode>
              <c:ptCount val="2"/>
              <c:pt idx="0">
                <c:v>-1.5715639473654406</c:v>
              </c:pt>
              <c:pt idx="1">
                <c:v>-1.7899182713785431</c:v>
              </c:pt>
            </c:numLit>
          </c:xVal>
          <c:yVal>
            <c:numLit>
              <c:formatCode>General</c:formatCode>
              <c:ptCount val="2"/>
              <c:pt idx="0">
                <c:v>2.851378236777297E-2</c:v>
              </c:pt>
              <c:pt idx="1">
                <c:v>2.8634228287168714E-2</c:v>
              </c:pt>
            </c:numLit>
          </c:yVal>
          <c:smooth val="0"/>
          <c:extLst>
            <c:ext xmlns:c16="http://schemas.microsoft.com/office/drawing/2014/chart" uri="{C3380CC4-5D6E-409C-BE32-E72D297353CC}">
              <c16:uniqueId val="{00000059-80A6-4898-BA1B-CA5225561492}"/>
            </c:ext>
          </c:extLst>
        </c:ser>
        <c:ser>
          <c:idx val="75"/>
          <c:order val="75"/>
          <c:spPr>
            <a:ln w="3175">
              <a:solidFill>
                <a:srgbClr val="000000"/>
              </a:solidFill>
              <a:prstDash val="solid"/>
            </a:ln>
          </c:spPr>
          <c:marker>
            <c:symbol val="none"/>
          </c:marker>
          <c:xVal>
            <c:numLit>
              <c:formatCode>General</c:formatCode>
              <c:ptCount val="2"/>
              <c:pt idx="0">
                <c:v>-1.8591375326045441</c:v>
              </c:pt>
              <c:pt idx="1">
                <c:v>-2.0828838613408798</c:v>
              </c:pt>
            </c:numLit>
          </c:xVal>
          <c:yVal>
            <c:numLit>
              <c:formatCode>General</c:formatCode>
              <c:ptCount val="2"/>
              <c:pt idx="0">
                <c:v>2.8330246370545271E-2</c:v>
              </c:pt>
              <c:pt idx="1">
                <c:v>2.8447250989992994E-2</c:v>
              </c:pt>
            </c:numLit>
          </c:yVal>
          <c:smooth val="0"/>
          <c:extLst>
            <c:ext xmlns:c16="http://schemas.microsoft.com/office/drawing/2014/chart" uri="{C3380CC4-5D6E-409C-BE32-E72D297353CC}">
              <c16:uniqueId val="{0000005A-80A6-4898-BA1B-CA5225561492}"/>
            </c:ext>
          </c:extLst>
        </c:ser>
        <c:ser>
          <c:idx val="76"/>
          <c:order val="76"/>
          <c:spPr>
            <a:ln w="3175">
              <a:solidFill>
                <a:srgbClr val="000000"/>
              </a:solidFill>
              <a:prstDash val="solid"/>
            </a:ln>
          </c:spPr>
          <c:marker>
            <c:symbol val="none"/>
          </c:marker>
          <c:xVal>
            <c:numLit>
              <c:formatCode>General</c:formatCode>
              <c:ptCount val="2"/>
              <c:pt idx="0">
                <c:v>-2.1228206156839224</c:v>
              </c:pt>
              <c:pt idx="1">
                <c:v>-2.3515110022279964</c:v>
              </c:pt>
            </c:numLit>
          </c:xVal>
          <c:yVal>
            <c:numLit>
              <c:formatCode>General</c:formatCode>
              <c:ptCount val="2"/>
              <c:pt idx="0">
                <c:v>2.8152972654552921E-2</c:v>
              </c:pt>
              <c:pt idx="1">
                <c:v>2.826665339182579E-2</c:v>
              </c:pt>
            </c:numLit>
          </c:yVal>
          <c:smooth val="0"/>
          <c:extLst>
            <c:ext xmlns:c16="http://schemas.microsoft.com/office/drawing/2014/chart" uri="{C3380CC4-5D6E-409C-BE32-E72D297353CC}">
              <c16:uniqueId val="{0000005B-80A6-4898-BA1B-CA5225561492}"/>
            </c:ext>
          </c:extLst>
        </c:ser>
        <c:ser>
          <c:idx val="77"/>
          <c:order val="77"/>
          <c:spPr>
            <a:ln w="3175">
              <a:solidFill>
                <a:srgbClr val="000000"/>
              </a:solidFill>
              <a:prstDash val="solid"/>
            </a:ln>
          </c:spPr>
          <c:marker>
            <c:symbol val="none"/>
          </c:marker>
          <c:xVal>
            <c:numLit>
              <c:formatCode>General</c:formatCode>
              <c:ptCount val="2"/>
              <c:pt idx="0">
                <c:v>-2.3647424461434348</c:v>
              </c:pt>
              <c:pt idx="1">
                <c:v>-2.8311952878738147</c:v>
              </c:pt>
            </c:numLit>
          </c:xVal>
          <c:yVal>
            <c:numLit>
              <c:formatCode>General</c:formatCode>
              <c:ptCount val="2"/>
              <c:pt idx="0">
                <c:v>2.7982085217171569E-2</c:v>
              </c:pt>
              <c:pt idx="1">
                <c:v>2.8203038412815504E-2</c:v>
              </c:pt>
            </c:numLit>
          </c:yVal>
          <c:smooth val="0"/>
          <c:extLst>
            <c:ext xmlns:c16="http://schemas.microsoft.com/office/drawing/2014/chart" uri="{C3380CC4-5D6E-409C-BE32-E72D297353CC}">
              <c16:uniqueId val="{0000005C-80A6-4898-BA1B-CA5225561492}"/>
            </c:ext>
          </c:extLst>
        </c:ser>
        <c:ser>
          <c:idx val="78"/>
          <c:order val="78"/>
          <c:spPr>
            <a:ln w="3175">
              <a:solidFill>
                <a:srgbClr val="000000"/>
              </a:solidFill>
              <a:prstDash val="solid"/>
            </a:ln>
          </c:spPr>
          <c:marker>
            <c:symbol val="none"/>
          </c:marker>
          <c:dLbls>
            <c:dLbl>
              <c:idx val="0"/>
              <c:tx>
                <c:rich>
                  <a:bodyPr rot="23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-3.9195852519113643</c:v>
              </c:pt>
            </c:numLit>
          </c:xVal>
          <c:yVal>
            <c:numLit>
              <c:formatCode>General</c:formatCode>
              <c:ptCount val="1"/>
              <c:pt idx="0">
                <c:v>2.8718595869318016E-2</c:v>
              </c:pt>
            </c:numLit>
          </c:yVal>
          <c:smooth val="0"/>
          <c:extLst>
            <c:ext xmlns:c16="http://schemas.microsoft.com/office/drawing/2014/chart" uri="{C3380CC4-5D6E-409C-BE32-E72D297353CC}">
              <c16:uniqueId val="{0000005E-80A6-4898-BA1B-CA5225561492}"/>
            </c:ext>
          </c:extLst>
        </c:ser>
        <c:ser>
          <c:idx val="79"/>
          <c:order val="79"/>
          <c:spPr>
            <a:ln w="3175">
              <a:solidFill>
                <a:srgbClr val="000000"/>
              </a:solidFill>
              <a:prstDash val="solid"/>
            </a:ln>
          </c:spPr>
          <c:marker>
            <c:symbol val="none"/>
          </c:marker>
          <c:xVal>
            <c:numLit>
              <c:formatCode>General</c:formatCode>
              <c:ptCount val="2"/>
              <c:pt idx="0">
                <c:v>-2.586868537679468</c:v>
              </c:pt>
              <c:pt idx="1">
                <c:v>-2.8242598227609585</c:v>
              </c:pt>
            </c:numLit>
          </c:xVal>
          <c:yVal>
            <c:numLit>
              <c:formatCode>General</c:formatCode>
              <c:ptCount val="2"/>
              <c:pt idx="0">
                <c:v>2.7817611679725126E-2</c:v>
              </c:pt>
              <c:pt idx="1">
                <c:v>2.792500439871997E-2</c:v>
              </c:pt>
            </c:numLit>
          </c:yVal>
          <c:smooth val="0"/>
          <c:extLst>
            <c:ext xmlns:c16="http://schemas.microsoft.com/office/drawing/2014/chart" uri="{C3380CC4-5D6E-409C-BE32-E72D297353CC}">
              <c16:uniqueId val="{0000005F-80A6-4898-BA1B-CA5225561492}"/>
            </c:ext>
          </c:extLst>
        </c:ser>
        <c:ser>
          <c:idx val="80"/>
          <c:order val="80"/>
          <c:spPr>
            <a:ln w="3175">
              <a:solidFill>
                <a:srgbClr val="000000"/>
              </a:solidFill>
              <a:prstDash val="solid"/>
            </a:ln>
          </c:spPr>
          <c:marker>
            <c:symbol val="none"/>
          </c:marker>
          <c:xVal>
            <c:numLit>
              <c:formatCode>General</c:formatCode>
              <c:ptCount val="2"/>
              <c:pt idx="0">
                <c:v>-2.7910019643405413</c:v>
              </c:pt>
              <c:pt idx="1">
                <c:v>-3.032220751171927</c:v>
              </c:pt>
            </c:numLit>
          </c:xVal>
          <c:yVal>
            <c:numLit>
              <c:formatCode>General</c:formatCode>
              <c:ptCount val="2"/>
              <c:pt idx="0">
                <c:v>2.7659504585725969E-2</c:v>
              </c:pt>
              <c:pt idx="1">
                <c:v>2.7763932796708333E-2</c:v>
              </c:pt>
            </c:numLit>
          </c:yVal>
          <c:smooth val="0"/>
          <c:extLst>
            <c:ext xmlns:c16="http://schemas.microsoft.com/office/drawing/2014/chart" uri="{C3380CC4-5D6E-409C-BE32-E72D297353CC}">
              <c16:uniqueId val="{00000060-80A6-4898-BA1B-CA5225561492}"/>
            </c:ext>
          </c:extLst>
        </c:ser>
        <c:ser>
          <c:idx val="81"/>
          <c:order val="81"/>
          <c:spPr>
            <a:ln w="3175">
              <a:solidFill>
                <a:srgbClr val="000000"/>
              </a:solidFill>
              <a:prstDash val="solid"/>
            </a:ln>
          </c:spPr>
          <c:marker>
            <c:symbol val="none"/>
          </c:marker>
          <c:xVal>
            <c:numLit>
              <c:formatCode>General</c:formatCode>
              <c:ptCount val="2"/>
              <c:pt idx="0">
                <c:v>-2.9787887880489183</c:v>
              </c:pt>
              <c:pt idx="1">
                <c:v>-3.2235285778248359</c:v>
              </c:pt>
            </c:numLit>
          </c:xVal>
          <c:yVal>
            <c:numLit>
              <c:formatCode>General</c:formatCode>
              <c:ptCount val="2"/>
              <c:pt idx="0">
                <c:v>2.7507659141489754E-2</c:v>
              </c:pt>
              <c:pt idx="1">
                <c:v>2.7609240250392689E-2</c:v>
              </c:pt>
            </c:numLit>
          </c:yVal>
          <c:smooth val="0"/>
          <c:extLst>
            <c:ext xmlns:c16="http://schemas.microsoft.com/office/drawing/2014/chart" uri="{C3380CC4-5D6E-409C-BE32-E72D297353CC}">
              <c16:uniqueId val="{00000061-80A6-4898-BA1B-CA5225561492}"/>
            </c:ext>
          </c:extLst>
        </c:ser>
        <c:ser>
          <c:idx val="82"/>
          <c:order val="82"/>
          <c:spPr>
            <a:ln w="3175">
              <a:solidFill>
                <a:srgbClr val="000000"/>
              </a:solidFill>
              <a:prstDash val="solid"/>
            </a:ln>
          </c:spPr>
          <c:marker>
            <c:symbol val="none"/>
          </c:marker>
          <c:xVal>
            <c:numLit>
              <c:formatCode>General</c:formatCode>
              <c:ptCount val="2"/>
              <c:pt idx="0">
                <c:v>-3.1517261413907764</c:v>
              </c:pt>
              <c:pt idx="1">
                <c:v>-3.3997085065418542</c:v>
              </c:pt>
            </c:numLit>
          </c:xVal>
          <c:yVal>
            <c:numLit>
              <c:formatCode>General</c:formatCode>
              <c:ptCount val="2"/>
              <c:pt idx="0">
                <c:v>2.736192779750813E-2</c:v>
              </c:pt>
              <c:pt idx="1">
                <c:v>2.7460776443711407E-2</c:v>
              </c:pt>
            </c:numLit>
          </c:yVal>
          <c:smooth val="0"/>
          <c:extLst>
            <c:ext xmlns:c16="http://schemas.microsoft.com/office/drawing/2014/chart" uri="{C3380CC4-5D6E-409C-BE32-E72D297353CC}">
              <c16:uniqueId val="{00000062-80A6-4898-BA1B-CA5225561492}"/>
            </c:ext>
          </c:extLst>
        </c:ser>
        <c:ser>
          <c:idx val="83"/>
          <c:order val="83"/>
          <c:spPr>
            <a:ln w="3175">
              <a:solidFill>
                <a:srgbClr val="000000"/>
              </a:solidFill>
              <a:prstDash val="solid"/>
            </a:ln>
          </c:spPr>
          <c:marker>
            <c:symbol val="none"/>
          </c:marker>
          <c:xVal>
            <c:numLit>
              <c:formatCode>General</c:formatCode>
              <c:ptCount val="2"/>
              <c:pt idx="0">
                <c:v>-3.3111718654925895</c:v>
              </c:pt>
              <c:pt idx="1">
                <c:v>-3.8131158104485627</c:v>
              </c:pt>
            </c:numLit>
          </c:xVal>
          <c:yVal>
            <c:numLit>
              <c:formatCode>General</c:formatCode>
              <c:ptCount val="2"/>
              <c:pt idx="0">
                <c:v>2.7222132091611104E-2</c:v>
              </c:pt>
              <c:pt idx="1">
                <c:v>2.7414587045046523E-2</c:v>
              </c:pt>
            </c:numLit>
          </c:yVal>
          <c:smooth val="0"/>
          <c:extLst>
            <c:ext xmlns:c16="http://schemas.microsoft.com/office/drawing/2014/chart" uri="{C3380CC4-5D6E-409C-BE32-E72D297353CC}">
              <c16:uniqueId val="{00000063-80A6-4898-BA1B-CA5225561492}"/>
            </c:ext>
          </c:extLst>
        </c:ser>
        <c:ser>
          <c:idx val="84"/>
          <c:order val="84"/>
          <c:spPr>
            <a:ln w="3175">
              <a:solidFill>
                <a:srgbClr val="000000"/>
              </a:solidFill>
              <a:prstDash val="solid"/>
            </a:ln>
          </c:spPr>
          <c:marker>
            <c:symbol val="none"/>
          </c:marker>
          <c:dLbls>
            <c:dLbl>
              <c:idx val="0"/>
              <c:tx>
                <c:rich>
                  <a:bodyPr rot="19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-4.9843183486791629</c:v>
              </c:pt>
            </c:numLit>
          </c:xVal>
          <c:yVal>
            <c:numLit>
              <c:formatCode>General</c:formatCode>
              <c:ptCount val="1"/>
              <c:pt idx="0">
                <c:v>2.7863648603062494E-2</c:v>
              </c:pt>
            </c:numLit>
          </c:yVal>
          <c:smooth val="0"/>
          <c:extLst>
            <c:ext xmlns:c16="http://schemas.microsoft.com/office/drawing/2014/chart" uri="{C3380CC4-5D6E-409C-BE32-E72D297353CC}">
              <c16:uniqueId val="{00000065-80A6-4898-BA1B-CA5225561492}"/>
            </c:ext>
          </c:extLst>
        </c:ser>
        <c:ser>
          <c:idx val="85"/>
          <c:order val="85"/>
          <c:spPr>
            <a:ln w="3175">
              <a:solidFill>
                <a:srgbClr val="000000"/>
              </a:solidFill>
              <a:prstDash val="solid"/>
            </a:ln>
          </c:spPr>
          <c:marker>
            <c:symbol val="none"/>
          </c:marker>
          <c:xVal>
            <c:numLit>
              <c:formatCode>General</c:formatCode>
              <c:ptCount val="2"/>
              <c:pt idx="0">
                <c:v>-3.4583549044857431</c:v>
              </c:pt>
              <c:pt idx="1">
                <c:v>-3.7120865589448515</c:v>
              </c:pt>
            </c:numLit>
          </c:xVal>
          <c:yVal>
            <c:numLit>
              <c:formatCode>General</c:formatCode>
              <c:ptCount val="2"/>
              <c:pt idx="0">
                <c:v>2.7088072162713552E-2</c:v>
              </c:pt>
              <c:pt idx="1">
                <c:v>2.7181786015764431E-2</c:v>
              </c:pt>
            </c:numLit>
          </c:yVal>
          <c:smooth val="0"/>
          <c:extLst>
            <c:ext xmlns:c16="http://schemas.microsoft.com/office/drawing/2014/chart" uri="{C3380CC4-5D6E-409C-BE32-E72D297353CC}">
              <c16:uniqueId val="{00000066-80A6-4898-BA1B-CA5225561492}"/>
            </c:ext>
          </c:extLst>
        </c:ser>
        <c:ser>
          <c:idx val="86"/>
          <c:order val="86"/>
          <c:spPr>
            <a:ln w="3175">
              <a:solidFill>
                <a:srgbClr val="000000"/>
              </a:solidFill>
              <a:prstDash val="solid"/>
            </a:ln>
          </c:spPr>
          <c:marker>
            <c:symbol val="none"/>
          </c:marker>
          <c:xVal>
            <c:numLit>
              <c:formatCode>General</c:formatCode>
              <c:ptCount val="2"/>
              <c:pt idx="0">
                <c:v>-3.5943858935362023</c:v>
              </c:pt>
              <c:pt idx="1">
                <c:v>-3.8506681290400069</c:v>
              </c:pt>
            </c:numLit>
          </c:xVal>
          <c:yVal>
            <c:numLit>
              <c:formatCode>General</c:formatCode>
              <c:ptCount val="2"/>
              <c:pt idx="0">
                <c:v>2.6959534312015688E-2</c:v>
              </c:pt>
              <c:pt idx="1">
                <c:v>2.7050838080365982E-2</c:v>
              </c:pt>
            </c:numLit>
          </c:yVal>
          <c:smooth val="0"/>
          <c:extLst>
            <c:ext xmlns:c16="http://schemas.microsoft.com/office/drawing/2014/chart" uri="{C3380CC4-5D6E-409C-BE32-E72D297353CC}">
              <c16:uniqueId val="{00000067-80A6-4898-BA1B-CA5225561492}"/>
            </c:ext>
          </c:extLst>
        </c:ser>
        <c:ser>
          <c:idx val="87"/>
          <c:order val="87"/>
          <c:spPr>
            <a:ln w="3175">
              <a:solidFill>
                <a:srgbClr val="000000"/>
              </a:solidFill>
              <a:prstDash val="solid"/>
            </a:ln>
          </c:spPr>
          <c:marker>
            <c:symbol val="none"/>
          </c:marker>
          <c:xVal>
            <c:numLit>
              <c:formatCode>General</c:formatCode>
              <c:ptCount val="2"/>
              <c:pt idx="0">
                <c:v>-3.7202675569347807</c:v>
              </c:pt>
              <c:pt idx="1">
                <c:v>-3.9789100736273086</c:v>
              </c:pt>
            </c:numLit>
          </c:xVal>
          <c:yVal>
            <c:numLit>
              <c:formatCode>General</c:formatCode>
              <c:ptCount val="2"/>
              <c:pt idx="0">
                <c:v>2.6836296947176371E-2</c:v>
              </c:pt>
              <c:pt idx="1">
                <c:v>2.6925290014935929E-2</c:v>
              </c:pt>
            </c:numLit>
          </c:yVal>
          <c:smooth val="0"/>
          <c:extLst>
            <c:ext xmlns:c16="http://schemas.microsoft.com/office/drawing/2014/chart" uri="{C3380CC4-5D6E-409C-BE32-E72D297353CC}">
              <c16:uniqueId val="{00000068-80A6-4898-BA1B-CA5225561492}"/>
            </c:ext>
          </c:extLst>
        </c:ser>
        <c:ser>
          <c:idx val="88"/>
          <c:order val="88"/>
          <c:spPr>
            <a:ln w="3175">
              <a:solidFill>
                <a:srgbClr val="000000"/>
              </a:solidFill>
              <a:prstDash val="solid"/>
            </a:ln>
          </c:spPr>
          <c:marker>
            <c:symbol val="none"/>
          </c:marker>
          <c:xVal>
            <c:numLit>
              <c:formatCode>General</c:formatCode>
              <c:ptCount val="2"/>
              <c:pt idx="0">
                <c:v>-3.8369046667399491</c:v>
              </c:pt>
              <c:pt idx="1">
                <c:v>-4.0977341292413234</c:v>
              </c:pt>
            </c:numLit>
          </c:xVal>
          <c:yVal>
            <c:numLit>
              <c:formatCode>General</c:formatCode>
              <c:ptCount val="2"/>
              <c:pt idx="0">
                <c:v>2.6718135200789875E-2</c:v>
              </c:pt>
              <c:pt idx="1">
                <c:v>2.6804912735804685E-2</c:v>
              </c:pt>
            </c:numLit>
          </c:yVal>
          <c:smooth val="0"/>
          <c:extLst>
            <c:ext xmlns:c16="http://schemas.microsoft.com/office/drawing/2014/chart" uri="{C3380CC4-5D6E-409C-BE32-E72D297353CC}">
              <c16:uniqueId val="{00000069-80A6-4898-BA1B-CA5225561492}"/>
            </c:ext>
          </c:extLst>
        </c:ser>
        <c:ser>
          <c:idx val="89"/>
          <c:order val="89"/>
          <c:spPr>
            <a:ln w="3175">
              <a:solidFill>
                <a:srgbClr val="000000"/>
              </a:solidFill>
              <a:prstDash val="solid"/>
            </a:ln>
          </c:spPr>
          <c:marker>
            <c:symbol val="none"/>
          </c:marker>
          <c:xVal>
            <c:numLit>
              <c:formatCode>General</c:formatCode>
              <c:ptCount val="2"/>
              <c:pt idx="0">
                <c:v>-3.9451134104728283</c:v>
              </c:pt>
              <c:pt idx="1">
                <c:v>-4.4708301633655605</c:v>
              </c:pt>
            </c:numLit>
          </c:xVal>
          <c:yVal>
            <c:numLit>
              <c:formatCode>General</c:formatCode>
              <c:ptCount val="2"/>
              <c:pt idx="0">
                <c:v>2.6604824471449687E-2</c:v>
              </c:pt>
              <c:pt idx="1">
                <c:v>2.6774130389129049E-2</c:v>
              </c:pt>
            </c:numLit>
          </c:yVal>
          <c:smooth val="0"/>
          <c:extLst>
            <c:ext xmlns:c16="http://schemas.microsoft.com/office/drawing/2014/chart" uri="{C3380CC4-5D6E-409C-BE32-E72D297353CC}">
              <c16:uniqueId val="{0000006A-80A6-4898-BA1B-CA5225561492}"/>
            </c:ext>
          </c:extLst>
        </c:ser>
        <c:ser>
          <c:idx val="90"/>
          <c:order val="90"/>
          <c:spPr>
            <a:ln w="3175">
              <a:solidFill>
                <a:srgbClr val="000000"/>
              </a:solidFill>
              <a:prstDash val="solid"/>
            </a:ln>
          </c:spPr>
          <c:marker>
            <c:symbol val="none"/>
          </c:marker>
          <c:dLbls>
            <c:dLbl>
              <c:idx val="0"/>
              <c:tx>
                <c:rich>
                  <a:bodyPr rot="17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B-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-5.6975025867819316</c:v>
              </c:pt>
            </c:numLit>
          </c:xVal>
          <c:yVal>
            <c:numLit>
              <c:formatCode>General</c:formatCode>
              <c:ptCount val="1"/>
              <c:pt idx="0">
                <c:v>2.7169177530380898E-2</c:v>
              </c:pt>
            </c:numLit>
          </c:yVal>
          <c:smooth val="0"/>
          <c:extLst>
            <c:ext xmlns:c16="http://schemas.microsoft.com/office/drawing/2014/chart" uri="{C3380CC4-5D6E-409C-BE32-E72D297353CC}">
              <c16:uniqueId val="{0000006C-80A6-4898-BA1B-CA5225561492}"/>
            </c:ext>
          </c:extLst>
        </c:ser>
        <c:ser>
          <c:idx val="91"/>
          <c:order val="91"/>
          <c:spPr>
            <a:ln w="3175">
              <a:solidFill>
                <a:srgbClr val="000000"/>
              </a:solidFill>
              <a:prstDash val="solid"/>
            </a:ln>
          </c:spPr>
          <c:marker>
            <c:symbol val="none"/>
          </c:marker>
          <c:xVal>
            <c:numLit>
              <c:formatCode>General</c:formatCode>
              <c:ptCount val="2"/>
              <c:pt idx="0">
                <c:v>-4.0456300865603616</c:v>
              </c:pt>
              <c:pt idx="1">
                <c:v>-4.3103731506833691</c:v>
              </c:pt>
            </c:numLit>
          </c:xVal>
          <c:yVal>
            <c:numLit>
              <c:formatCode>General</c:formatCode>
              <c:ptCount val="2"/>
              <c:pt idx="0">
                <c:v>2.6496143095974801E-2</c:v>
              </c:pt>
              <c:pt idx="1">
                <c:v>2.6578758279024329E-2</c:v>
              </c:pt>
            </c:numLit>
          </c:yVal>
          <c:smooth val="0"/>
          <c:extLst>
            <c:ext xmlns:c16="http://schemas.microsoft.com/office/drawing/2014/chart" uri="{C3380CC4-5D6E-409C-BE32-E72D297353CC}">
              <c16:uniqueId val="{0000006D-80A6-4898-BA1B-CA5225561492}"/>
            </c:ext>
          </c:extLst>
        </c:ser>
        <c:ser>
          <c:idx val="92"/>
          <c:order val="92"/>
          <c:spPr>
            <a:ln w="3175">
              <a:solidFill>
                <a:srgbClr val="000000"/>
              </a:solidFill>
              <a:prstDash val="solid"/>
            </a:ln>
          </c:spPr>
          <c:marker>
            <c:symbol val="none"/>
          </c:marker>
          <c:xVal>
            <c:numLit>
              <c:formatCode>General</c:formatCode>
              <c:ptCount val="2"/>
              <c:pt idx="0">
                <c:v>-4.1391190953323029</c:v>
              </c:pt>
              <c:pt idx="1">
                <c:v>-4.4056150783697845</c:v>
              </c:pt>
            </c:numLit>
          </c:xVal>
          <c:yVal>
            <c:numLit>
              <c:formatCode>General</c:formatCode>
              <c:ptCount val="2"/>
              <c:pt idx="0">
                <c:v>2.6391874326035663E-2</c:v>
              </c:pt>
              <c:pt idx="1">
                <c:v>2.6472534469648829E-2</c:v>
              </c:pt>
            </c:numLit>
          </c:yVal>
          <c:smooth val="0"/>
          <c:extLst>
            <c:ext xmlns:c16="http://schemas.microsoft.com/office/drawing/2014/chart" uri="{C3380CC4-5D6E-409C-BE32-E72D297353CC}">
              <c16:uniqueId val="{0000006E-80A6-4898-BA1B-CA5225561492}"/>
            </c:ext>
          </c:extLst>
        </c:ser>
        <c:ser>
          <c:idx val="93"/>
          <c:order val="93"/>
          <c:spPr>
            <a:ln w="3175">
              <a:solidFill>
                <a:srgbClr val="000000"/>
              </a:solidFill>
              <a:prstDash val="solid"/>
            </a:ln>
          </c:spPr>
          <c:marker>
            <c:symbol val="none"/>
          </c:marker>
          <c:xVal>
            <c:numLit>
              <c:formatCode>General</c:formatCode>
              <c:ptCount val="2"/>
              <c:pt idx="0">
                <c:v>-4.2261802267681094</c:v>
              </c:pt>
              <c:pt idx="1">
                <c:v>-4.4943086060200121</c:v>
              </c:pt>
            </c:numLit>
          </c:xVal>
          <c:yVal>
            <c:numLit>
              <c:formatCode>General</c:formatCode>
              <c:ptCount val="2"/>
              <c:pt idx="0">
                <c:v>2.6291807751749163E-2</c:v>
              </c:pt>
              <c:pt idx="1">
                <c:v>2.637059164709446E-2</c:v>
              </c:pt>
            </c:numLit>
          </c:yVal>
          <c:smooth val="0"/>
          <c:extLst>
            <c:ext xmlns:c16="http://schemas.microsoft.com/office/drawing/2014/chart" uri="{C3380CC4-5D6E-409C-BE32-E72D297353CC}">
              <c16:uniqueId val="{0000006F-80A6-4898-BA1B-CA5225561492}"/>
            </c:ext>
          </c:extLst>
        </c:ser>
        <c:ser>
          <c:idx val="94"/>
          <c:order val="94"/>
          <c:spPr>
            <a:ln w="3175">
              <a:solidFill>
                <a:srgbClr val="000000"/>
              </a:solidFill>
              <a:prstDash val="solid"/>
            </a:ln>
          </c:spPr>
          <c:marker>
            <c:symbol val="none"/>
          </c:marker>
          <c:xVal>
            <c:numLit>
              <c:formatCode>General</c:formatCode>
              <c:ptCount val="2"/>
              <c:pt idx="0">
                <c:v>-4.3073552680459173</c:v>
              </c:pt>
              <c:pt idx="1">
                <c:v>-4.577005679321779</c:v>
              </c:pt>
            </c:numLit>
          </c:xVal>
          <c:yVal>
            <c:numLit>
              <c:formatCode>General</c:formatCode>
              <c:ptCount val="2"/>
              <c:pt idx="0">
                <c:v>2.6195740288684301E-2</c:v>
              </c:pt>
              <c:pt idx="1">
                <c:v>2.627272291909713E-2</c:v>
              </c:pt>
            </c:numLit>
          </c:yVal>
          <c:smooth val="0"/>
          <c:extLst>
            <c:ext xmlns:c16="http://schemas.microsoft.com/office/drawing/2014/chart" uri="{C3380CC4-5D6E-409C-BE32-E72D297353CC}">
              <c16:uniqueId val="{00000070-80A6-4898-BA1B-CA5225561492}"/>
            </c:ext>
          </c:extLst>
        </c:ser>
        <c:ser>
          <c:idx val="95"/>
          <c:order val="95"/>
          <c:spPr>
            <a:ln w="3175">
              <a:solidFill>
                <a:srgbClr val="000000"/>
              </a:solidFill>
              <a:prstDash val="solid"/>
            </a:ln>
          </c:spPr>
          <c:marker>
            <c:symbol val="none"/>
          </c:marker>
          <c:xVal>
            <c:numLit>
              <c:formatCode>General</c:formatCode>
              <c:ptCount val="2"/>
              <c:pt idx="0">
                <c:v>-4.3831339674729453</c:v>
              </c:pt>
              <c:pt idx="1">
                <c:v>-4.6542052293630638</c:v>
              </c:pt>
            </c:numLit>
          </c:xVal>
          <c:yVal>
            <c:numLit>
              <c:formatCode>General</c:formatCode>
              <c:ptCount val="2"/>
              <c:pt idx="0">
                <c:v>2.6103476822769107E-2</c:v>
              </c:pt>
              <c:pt idx="1">
                <c:v>2.6178729513196029E-2</c:v>
              </c:pt>
            </c:numLit>
          </c:yVal>
          <c:smooth val="0"/>
          <c:extLst>
            <c:ext xmlns:c16="http://schemas.microsoft.com/office/drawing/2014/chart" uri="{C3380CC4-5D6E-409C-BE32-E72D297353CC}">
              <c16:uniqueId val="{00000071-80A6-4898-BA1B-CA5225561492}"/>
            </c:ext>
          </c:extLst>
        </c:ser>
        <c:ser>
          <c:idx val="96"/>
          <c:order val="96"/>
          <c:spPr>
            <a:ln w="3175">
              <a:solidFill>
                <a:srgbClr val="000000"/>
              </a:solidFill>
              <a:prstDash val="solid"/>
            </a:ln>
          </c:spPr>
          <c:marker>
            <c:symbol val="none"/>
          </c:marker>
          <c:dLbls>
            <c:dLbl>
              <c:idx val="0"/>
              <c:tx>
                <c:rich>
                  <a:bodyPr rot="15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2-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-6.190275713407063</c:v>
              </c:pt>
            </c:numLit>
          </c:xVal>
          <c:yVal>
            <c:numLit>
              <c:formatCode>General</c:formatCode>
              <c:ptCount val="1"/>
              <c:pt idx="0">
                <c:v>2.6605161425615247E-2</c:v>
              </c:pt>
            </c:numLit>
          </c:yVal>
          <c:smooth val="0"/>
          <c:extLst>
            <c:ext xmlns:c16="http://schemas.microsoft.com/office/drawing/2014/chart" uri="{C3380CC4-5D6E-409C-BE32-E72D297353CC}">
              <c16:uniqueId val="{00000073-80A6-4898-BA1B-CA5225561492}"/>
            </c:ext>
          </c:extLst>
        </c:ser>
        <c:ser>
          <c:idx val="97"/>
          <c:order val="97"/>
          <c:spPr>
            <a:ln w="3175">
              <a:solidFill>
                <a:srgbClr val="000000"/>
              </a:solidFill>
              <a:prstDash val="solid"/>
            </a:ln>
          </c:spPr>
          <c:marker>
            <c:symbol val="none"/>
          </c:marker>
          <c:xVal>
            <c:numLit>
              <c:formatCode>General</c:formatCode>
              <c:ptCount val="2"/>
              <c:pt idx="0">
                <c:v>-4.5202327749524223</c:v>
              </c:pt>
              <c:pt idx="1">
                <c:v>-4.7938746394827811</c:v>
              </c:pt>
            </c:numLit>
          </c:xVal>
          <c:yVal>
            <c:numLit>
              <c:formatCode>General</c:formatCode>
              <c:ptCount val="2"/>
              <c:pt idx="0">
                <c:v>2.5929623347595597E-2</c:v>
              </c:pt>
              <c:pt idx="1">
                <c:v>2.6001616285363013E-2</c:v>
              </c:pt>
            </c:numLit>
          </c:yVal>
          <c:smooth val="0"/>
          <c:extLst>
            <c:ext xmlns:c16="http://schemas.microsoft.com/office/drawing/2014/chart" uri="{C3380CC4-5D6E-409C-BE32-E72D297353CC}">
              <c16:uniqueId val="{00000074-80A6-4898-BA1B-CA5225561492}"/>
            </c:ext>
          </c:extLst>
        </c:ser>
        <c:ser>
          <c:idx val="98"/>
          <c:order val="98"/>
          <c:spPr>
            <a:ln w="3175">
              <a:solidFill>
                <a:srgbClr val="000000"/>
              </a:solidFill>
              <a:prstDash val="solid"/>
            </a:ln>
          </c:spPr>
          <c:marker>
            <c:symbol val="none"/>
          </c:marker>
          <c:xVal>
            <c:numLit>
              <c:formatCode>General</c:formatCode>
              <c:ptCount val="2"/>
              <c:pt idx="0">
                <c:v>-4.6405443022471573</c:v>
              </c:pt>
              <c:pt idx="1">
                <c:v>-4.9164420079142923</c:v>
              </c:pt>
            </c:numLit>
          </c:xVal>
          <c:yVal>
            <c:numLit>
              <c:formatCode>General</c:formatCode>
              <c:ptCount val="2"/>
              <c:pt idx="0">
                <c:v>2.576885549040217E-2</c:v>
              </c:pt>
              <c:pt idx="1">
                <c:v>2.5837834030847211E-2</c:v>
              </c:pt>
            </c:numLit>
          </c:yVal>
          <c:smooth val="0"/>
          <c:extLst>
            <c:ext xmlns:c16="http://schemas.microsoft.com/office/drawing/2014/chart" uri="{C3380CC4-5D6E-409C-BE32-E72D297353CC}">
              <c16:uniqueId val="{00000075-80A6-4898-BA1B-CA5225561492}"/>
            </c:ext>
          </c:extLst>
        </c:ser>
        <c:ser>
          <c:idx val="99"/>
          <c:order val="99"/>
          <c:spPr>
            <a:ln w="3175">
              <a:solidFill>
                <a:srgbClr val="000000"/>
              </a:solidFill>
              <a:prstDash val="solid"/>
            </a:ln>
          </c:spPr>
          <c:marker>
            <c:symbol val="none"/>
          </c:marker>
          <c:xVal>
            <c:numLit>
              <c:formatCode>General</c:formatCode>
              <c:ptCount val="2"/>
              <c:pt idx="0">
                <c:v>-4.7465937304932346</c:v>
              </c:pt>
              <c:pt idx="1">
                <c:v>-5.0244798629399838</c:v>
              </c:pt>
            </c:numLit>
          </c:xVal>
          <c:yVal>
            <c:numLit>
              <c:formatCode>General</c:formatCode>
              <c:ptCount val="2"/>
              <c:pt idx="0">
                <c:v>2.5619915831599376E-2</c:v>
              </c:pt>
              <c:pt idx="1">
                <c:v>2.5686101753441867E-2</c:v>
              </c:pt>
            </c:numLit>
          </c:yVal>
          <c:smooth val="0"/>
          <c:extLst>
            <c:ext xmlns:c16="http://schemas.microsoft.com/office/drawing/2014/chart" uri="{C3380CC4-5D6E-409C-BE32-E72D297353CC}">
              <c16:uniqueId val="{00000076-80A6-4898-BA1B-CA5225561492}"/>
            </c:ext>
          </c:extLst>
        </c:ser>
        <c:ser>
          <c:idx val="100"/>
          <c:order val="100"/>
          <c:spPr>
            <a:ln w="3175">
              <a:solidFill>
                <a:srgbClr val="000000"/>
              </a:solidFill>
              <a:prstDash val="solid"/>
            </a:ln>
          </c:spPr>
          <c:marker>
            <c:symbol val="none"/>
          </c:marker>
          <c:xVal>
            <c:numLit>
              <c:formatCode>General</c:formatCode>
              <c:ptCount val="2"/>
              <c:pt idx="0">
                <c:v>-4.840468663784268</c:v>
              </c:pt>
              <c:pt idx="1">
                <c:v>-5.1201149512302235</c:v>
              </c:pt>
            </c:numLit>
          </c:xVal>
          <c:yVal>
            <c:numLit>
              <c:formatCode>General</c:formatCode>
              <c:ptCount val="2"/>
              <c:pt idx="0">
                <c:v>2.5481674836737744E-2</c:v>
              </c:pt>
              <c:pt idx="1">
                <c:v>2.5545268739926578E-2</c:v>
              </c:pt>
            </c:numLit>
          </c:yVal>
          <c:smooth val="0"/>
          <c:extLst>
            <c:ext xmlns:c16="http://schemas.microsoft.com/office/drawing/2014/chart" uri="{C3380CC4-5D6E-409C-BE32-E72D297353CC}">
              <c16:uniqueId val="{00000077-80A6-4898-BA1B-CA5225561492}"/>
            </c:ext>
          </c:extLst>
        </c:ser>
        <c:ser>
          <c:idx val="101"/>
          <c:order val="101"/>
          <c:spPr>
            <a:ln w="3175">
              <a:solidFill>
                <a:srgbClr val="000000"/>
              </a:solidFill>
              <a:prstDash val="solid"/>
            </a:ln>
          </c:spPr>
          <c:marker>
            <c:symbol val="none"/>
          </c:marker>
          <c:xVal>
            <c:numLit>
              <c:formatCode>General</c:formatCode>
              <c:ptCount val="2"/>
              <c:pt idx="0">
                <c:v>-4.9239027256336172</c:v>
              </c:pt>
              <c:pt idx="1">
                <c:v>-5.4863240778448787</c:v>
              </c:pt>
            </c:numLit>
          </c:xVal>
          <c:yVal>
            <c:numLit>
              <c:formatCode>General</c:formatCode>
              <c:ptCount val="2"/>
              <c:pt idx="0">
                <c:v>2.5353121386487928E-2</c:v>
              </c:pt>
              <c:pt idx="1">
                <c:v>2.5475488438481225E-2</c:v>
              </c:pt>
            </c:numLit>
          </c:yVal>
          <c:smooth val="0"/>
          <c:extLst>
            <c:ext xmlns:c16="http://schemas.microsoft.com/office/drawing/2014/chart" uri="{C3380CC4-5D6E-409C-BE32-E72D297353CC}">
              <c16:uniqueId val="{00000078-80A6-4898-BA1B-CA5225561492}"/>
            </c:ext>
          </c:extLst>
        </c:ser>
        <c:ser>
          <c:idx val="102"/>
          <c:order val="102"/>
          <c:spPr>
            <a:ln w="3175">
              <a:solidFill>
                <a:srgbClr val="000000"/>
              </a:solidFill>
              <a:prstDash val="solid"/>
            </a:ln>
          </c:spPr>
          <c:marker>
            <c:symbol val="none"/>
          </c:marker>
          <c:dLbls>
            <c:dLbl>
              <c:idx val="0"/>
              <c:tx>
                <c:rich>
                  <a:bodyPr rot="12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-6.7986405663378191</c:v>
              </c:pt>
            </c:numLit>
          </c:xVal>
          <c:yVal>
            <c:numLit>
              <c:formatCode>General</c:formatCode>
              <c:ptCount val="1"/>
              <c:pt idx="0">
                <c:v>2.5761011559798916E-2</c:v>
              </c:pt>
            </c:numLit>
          </c:yVal>
          <c:smooth val="0"/>
          <c:extLst>
            <c:ext xmlns:c16="http://schemas.microsoft.com/office/drawing/2014/chart" uri="{C3380CC4-5D6E-409C-BE32-E72D297353CC}">
              <c16:uniqueId val="{0000007A-80A6-4898-BA1B-CA5225561492}"/>
            </c:ext>
          </c:extLst>
        </c:ser>
        <c:ser>
          <c:idx val="103"/>
          <c:order val="103"/>
          <c:spPr>
            <a:ln w="3175">
              <a:solidFill>
                <a:srgbClr val="000000"/>
              </a:solidFill>
              <a:prstDash val="solid"/>
            </a:ln>
          </c:spPr>
          <c:marker>
            <c:symbol val="none"/>
          </c:marker>
          <c:xVal>
            <c:numLit>
              <c:formatCode>General</c:formatCode>
              <c:ptCount val="2"/>
              <c:pt idx="0">
                <c:v>-5.0957344984412281</c:v>
              </c:pt>
              <c:pt idx="1">
                <c:v>-5.3801670202870016</c:v>
              </c:pt>
            </c:numLit>
          </c:xVal>
          <c:yVal>
            <c:numLit>
              <c:formatCode>General</c:formatCode>
              <c:ptCount val="2"/>
              <c:pt idx="0">
                <c:v>2.5068428518398963E-2</c:v>
              </c:pt>
              <c:pt idx="1">
                <c:v>2.5124274053118945E-2</c:v>
              </c:pt>
            </c:numLit>
          </c:yVal>
          <c:smooth val="0"/>
          <c:extLst>
            <c:ext xmlns:c16="http://schemas.microsoft.com/office/drawing/2014/chart" uri="{C3380CC4-5D6E-409C-BE32-E72D297353CC}">
              <c16:uniqueId val="{0000007B-80A6-4898-BA1B-CA5225561492}"/>
            </c:ext>
          </c:extLst>
        </c:ser>
        <c:ser>
          <c:idx val="104"/>
          <c:order val="104"/>
          <c:spPr>
            <a:ln w="3175">
              <a:solidFill>
                <a:srgbClr val="000000"/>
              </a:solidFill>
              <a:prstDash val="solid"/>
            </a:ln>
          </c:spPr>
          <c:marker>
            <c:symbol val="none"/>
          </c:marker>
          <c:xVal>
            <c:numLit>
              <c:formatCode>General</c:formatCode>
              <c:ptCount val="2"/>
              <c:pt idx="0">
                <c:v>-5.2277187467242001</c:v>
              </c:pt>
              <c:pt idx="1">
                <c:v>-5.8015331997263591</c:v>
              </c:pt>
            </c:numLit>
          </c:xVal>
          <c:yVal>
            <c:numLit>
              <c:formatCode>General</c:formatCode>
              <c:ptCount val="2"/>
              <c:pt idx="0">
                <c:v>2.4827230795625085E-2</c:v>
              </c:pt>
              <c:pt idx="1">
                <c:v>2.4929876950461029E-2</c:v>
              </c:pt>
            </c:numLit>
          </c:yVal>
          <c:smooth val="0"/>
          <c:extLst>
            <c:ext xmlns:c16="http://schemas.microsoft.com/office/drawing/2014/chart" uri="{C3380CC4-5D6E-409C-BE32-E72D297353CC}">
              <c16:uniqueId val="{0000007C-80A6-4898-BA1B-CA5225561492}"/>
            </c:ext>
          </c:extLst>
        </c:ser>
        <c:ser>
          <c:idx val="105"/>
          <c:order val="105"/>
          <c:spPr>
            <a:ln w="3175">
              <a:solidFill>
                <a:srgbClr val="000000"/>
              </a:solidFill>
              <a:prstDash val="solid"/>
            </a:ln>
          </c:spPr>
          <c:marker>
            <c:symbol val="none"/>
          </c:marker>
          <c:dLbls>
            <c:dLbl>
              <c:idx val="0"/>
              <c:tx>
                <c:rich>
                  <a:bodyPr rot="10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D-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-7.1404335900647249</c:v>
              </c:pt>
            </c:numLit>
          </c:xVal>
          <c:yVal>
            <c:numLit>
              <c:formatCode>General</c:formatCode>
              <c:ptCount val="1"/>
              <c:pt idx="0">
                <c:v>2.5169384645078223E-2</c:v>
              </c:pt>
            </c:numLit>
          </c:yVal>
          <c:smooth val="0"/>
          <c:extLst>
            <c:ext xmlns:c16="http://schemas.microsoft.com/office/drawing/2014/chart" uri="{C3380CC4-5D6E-409C-BE32-E72D297353CC}">
              <c16:uniqueId val="{0000007E-80A6-4898-BA1B-CA5225561492}"/>
            </c:ext>
          </c:extLst>
        </c:ser>
        <c:ser>
          <c:idx val="106"/>
          <c:order val="106"/>
          <c:spPr>
            <a:ln w="3175">
              <a:solidFill>
                <a:srgbClr val="000000"/>
              </a:solidFill>
              <a:prstDash val="solid"/>
            </a:ln>
          </c:spPr>
          <c:marker>
            <c:symbol val="none"/>
          </c:marker>
          <c:xVal>
            <c:numLit>
              <c:formatCode>General</c:formatCode>
              <c:ptCount val="2"/>
              <c:pt idx="0">
                <c:v>-5.4133953400869554</c:v>
              </c:pt>
              <c:pt idx="1">
                <c:v>-5.7037840027135864</c:v>
              </c:pt>
            </c:numLit>
          </c:xVal>
          <c:yVal>
            <c:numLit>
              <c:formatCode>General</c:formatCode>
              <c:ptCount val="2"/>
              <c:pt idx="0">
                <c:v>2.4442186629969609E-2</c:v>
              </c:pt>
              <c:pt idx="1">
                <c:v>2.4486290129281538E-2</c:v>
              </c:pt>
            </c:numLit>
          </c:yVal>
          <c:smooth val="0"/>
          <c:extLst>
            <c:ext xmlns:c16="http://schemas.microsoft.com/office/drawing/2014/chart" uri="{C3380CC4-5D6E-409C-BE32-E72D297353CC}">
              <c16:uniqueId val="{0000007F-80A6-4898-BA1B-CA5225561492}"/>
            </c:ext>
          </c:extLst>
        </c:ser>
        <c:ser>
          <c:idx val="107"/>
          <c:order val="107"/>
          <c:spPr>
            <a:ln w="3175">
              <a:solidFill>
                <a:srgbClr val="000000"/>
              </a:solidFill>
              <a:prstDash val="solid"/>
            </a:ln>
          </c:spPr>
          <c:marker>
            <c:symbol val="none"/>
          </c:marker>
          <c:xVal>
            <c:numLit>
              <c:formatCode>General</c:formatCode>
              <c:ptCount val="2"/>
              <c:pt idx="0">
                <c:v>-5.5344826731761501</c:v>
              </c:pt>
              <c:pt idx="1">
                <c:v>-6.1198007734202573</c:v>
              </c:pt>
            </c:numLit>
          </c:xVal>
          <c:yVal>
            <c:numLit>
              <c:formatCode>General</c:formatCode>
              <c:ptCount val="2"/>
              <c:pt idx="0">
                <c:v>2.414963114909378E-2</c:v>
              </c:pt>
              <c:pt idx="1">
                <c:v>2.4226867317184795E-2</c:v>
              </c:pt>
            </c:numLit>
          </c:yVal>
          <c:smooth val="0"/>
          <c:extLst>
            <c:ext xmlns:c16="http://schemas.microsoft.com/office/drawing/2014/chart" uri="{C3380CC4-5D6E-409C-BE32-E72D297353CC}">
              <c16:uniqueId val="{00000080-80A6-4898-BA1B-CA5225561492}"/>
            </c:ext>
          </c:extLst>
        </c:ser>
        <c:ser>
          <c:idx val="108"/>
          <c:order val="108"/>
          <c:spPr>
            <a:ln w="3175">
              <a:solidFill>
                <a:srgbClr val="000000"/>
              </a:solidFill>
              <a:prstDash val="solid"/>
            </a:ln>
          </c:spPr>
          <c:marker>
            <c:symbol val="none"/>
          </c:marker>
          <c:dLbls>
            <c:dLbl>
              <c:idx val="0"/>
              <c:tx>
                <c:rich>
                  <a:bodyPr rot="7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1-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-7.4855430073231686</c:v>
              </c:pt>
            </c:numLit>
          </c:xVal>
          <c:yVal>
            <c:numLit>
              <c:formatCode>General</c:formatCode>
              <c:ptCount val="1"/>
              <c:pt idx="0">
                <c:v>2.4407085042730502E-2</c:v>
              </c:pt>
            </c:numLit>
          </c:yVal>
          <c:smooth val="0"/>
          <c:extLst>
            <c:ext xmlns:c16="http://schemas.microsoft.com/office/drawing/2014/chart" uri="{C3380CC4-5D6E-409C-BE32-E72D297353CC}">
              <c16:uniqueId val="{00000082-80A6-4898-BA1B-CA5225561492}"/>
            </c:ext>
          </c:extLst>
        </c:ser>
        <c:ser>
          <c:idx val="109"/>
          <c:order val="109"/>
          <c:spPr>
            <a:ln w="3175">
              <a:solidFill>
                <a:srgbClr val="000000"/>
              </a:solidFill>
              <a:prstDash val="solid"/>
            </a:ln>
          </c:spPr>
          <c:marker>
            <c:symbol val="none"/>
          </c:marker>
          <c:xVal>
            <c:numLit>
              <c:formatCode>General</c:formatCode>
              <c:ptCount val="2"/>
              <c:pt idx="0">
                <c:v>-5.5796887608149337</c:v>
              </c:pt>
              <c:pt idx="1">
                <c:v>-5.8731954250802145</c:v>
              </c:pt>
            </c:numLit>
          </c:xVal>
          <c:yVal>
            <c:numLit>
              <c:formatCode>General</c:formatCode>
              <c:ptCount val="2"/>
              <c:pt idx="0">
                <c:v>2.402846333389709E-2</c:v>
              </c:pt>
              <c:pt idx="1">
                <c:v>2.4064809521407663E-2</c:v>
              </c:pt>
            </c:numLit>
          </c:yVal>
          <c:smooth val="0"/>
          <c:extLst>
            <c:ext xmlns:c16="http://schemas.microsoft.com/office/drawing/2014/chart" uri="{C3380CC4-5D6E-409C-BE32-E72D297353CC}">
              <c16:uniqueId val="{00000083-80A6-4898-BA1B-CA5225561492}"/>
            </c:ext>
          </c:extLst>
        </c:ser>
        <c:ser>
          <c:idx val="110"/>
          <c:order val="110"/>
          <c:spPr>
            <a:ln w="3175">
              <a:solidFill>
                <a:srgbClr val="000000"/>
              </a:solidFill>
              <a:prstDash val="solid"/>
            </a:ln>
          </c:spPr>
          <c:marker>
            <c:symbol val="none"/>
          </c:marker>
          <c:xVal>
            <c:numLit>
              <c:formatCode>General</c:formatCode>
              <c:ptCount val="2"/>
              <c:pt idx="0">
                <c:v>-5.7798158159794664</c:v>
              </c:pt>
              <c:pt idx="1">
                <c:v>-6.3743339090786977</c:v>
              </c:pt>
            </c:numLit>
          </c:xVal>
          <c:yVal>
            <c:numLit>
              <c:formatCode>General</c:formatCode>
              <c:ptCount val="2"/>
              <c:pt idx="0">
                <c:v>2.3353406363149757E-2</c:v>
              </c:pt>
              <c:pt idx="1">
                <c:v>2.3400784101767873E-2</c:v>
              </c:pt>
            </c:numLit>
          </c:yVal>
          <c:smooth val="0"/>
          <c:extLst>
            <c:ext xmlns:c16="http://schemas.microsoft.com/office/drawing/2014/chart" uri="{C3380CC4-5D6E-409C-BE32-E72D297353CC}">
              <c16:uniqueId val="{00000084-80A6-4898-BA1B-CA5225561492}"/>
            </c:ext>
          </c:extLst>
        </c:ser>
        <c:ser>
          <c:idx val="111"/>
          <c:order val="111"/>
          <c:spPr>
            <a:ln w="3175">
              <a:solidFill>
                <a:srgbClr val="000000"/>
              </a:solidFill>
              <a:prstDash val="solid"/>
            </a:ln>
          </c:spPr>
          <c:marker>
            <c:symbol val="none"/>
          </c:marker>
          <c:dLbls>
            <c:dLbl>
              <c:idx val="0"/>
              <c:tx>
                <c:rich>
                  <a:bodyPr rot="4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-7.7615427929768996</c:v>
              </c:pt>
            </c:numLit>
          </c:xVal>
          <c:yVal>
            <c:numLit>
              <c:formatCode>General</c:formatCode>
              <c:ptCount val="1"/>
              <c:pt idx="0">
                <c:v>2.3511332158543476E-2</c:v>
              </c:pt>
            </c:numLit>
          </c:yVal>
          <c:smooth val="0"/>
          <c:extLst>
            <c:ext xmlns:c16="http://schemas.microsoft.com/office/drawing/2014/chart" uri="{C3380CC4-5D6E-409C-BE32-E72D297353CC}">
              <c16:uniqueId val="{00000086-80A6-4898-BA1B-CA5225561492}"/>
            </c:ext>
          </c:extLst>
        </c:ser>
        <c:ser>
          <c:idx val="112"/>
          <c:order val="112"/>
          <c:spPr>
            <a:ln w="3175">
              <a:solidFill>
                <a:srgbClr val="000000"/>
              </a:solidFill>
              <a:prstDash val="solid"/>
            </a:ln>
          </c:spPr>
          <c:marker>
            <c:symbol val="none"/>
          </c:marker>
          <c:xVal>
            <c:numLit>
              <c:formatCode>General</c:formatCode>
              <c:ptCount val="2"/>
              <c:pt idx="0">
                <c:v>-5.8504939393902315</c:v>
              </c:pt>
              <c:pt idx="1">
                <c:v>-6.1490782007537987</c:v>
              </c:pt>
            </c:numLit>
          </c:xVal>
          <c:yVal>
            <c:numLit>
              <c:formatCode>General</c:formatCode>
              <c:ptCount val="2"/>
              <c:pt idx="0">
                <c:v>2.2999002443464193E-2</c:v>
              </c:pt>
              <c:pt idx="1">
                <c:v>2.3016046239279147E-2</c:v>
              </c:pt>
            </c:numLit>
          </c:yVal>
          <c:smooth val="0"/>
          <c:extLst>
            <c:ext xmlns:c16="http://schemas.microsoft.com/office/drawing/2014/chart" uri="{C3380CC4-5D6E-409C-BE32-E72D297353CC}">
              <c16:uniqueId val="{00000087-80A6-4898-BA1B-CA5225561492}"/>
            </c:ext>
          </c:extLst>
        </c:ser>
        <c:ser>
          <c:idx val="113"/>
          <c:order val="113"/>
          <c:spPr>
            <a:ln w="3175">
              <a:solidFill>
                <a:srgbClr val="000000"/>
              </a:solidFill>
              <a:prstDash val="solid"/>
            </a:ln>
          </c:spPr>
          <c:marker>
            <c:symbol val="none"/>
          </c:marker>
          <c:xVal>
            <c:numLit>
              <c:formatCode>General</c:formatCode>
              <c:ptCount val="2"/>
              <c:pt idx="0">
                <c:v>-5.8800528869223712</c:v>
              </c:pt>
              <c:pt idx="1">
                <c:v>-6.4783298701819616</c:v>
              </c:pt>
            </c:numLit>
          </c:xVal>
          <c:yVal>
            <c:numLit>
              <c:formatCode>General</c:formatCode>
              <c:ptCount val="2"/>
              <c:pt idx="0">
                <c:v>2.2799421298857658E-2</c:v>
              </c:pt>
              <c:pt idx="1">
                <c:v>2.2826024597564817E-2</c:v>
              </c:pt>
            </c:numLit>
          </c:yVal>
          <c:smooth val="0"/>
          <c:extLst>
            <c:ext xmlns:c16="http://schemas.microsoft.com/office/drawing/2014/chart" uri="{C3380CC4-5D6E-409C-BE32-E72D297353CC}">
              <c16:uniqueId val="{00000088-80A6-4898-BA1B-CA5225561492}"/>
            </c:ext>
          </c:extLst>
        </c:ser>
        <c:ser>
          <c:idx val="114"/>
          <c:order val="114"/>
          <c:spPr>
            <a:ln w="3175">
              <a:solidFill>
                <a:srgbClr val="000000"/>
              </a:solidFill>
              <a:prstDash val="solid"/>
            </a:ln>
          </c:spPr>
          <c:marker>
            <c:symbol val="none"/>
          </c:marker>
          <c:dLbls>
            <c:dLbl>
              <c:idx val="0"/>
              <c:tx>
                <c:rich>
                  <a:bodyPr rot="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9-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-7.8743094977876673</c:v>
              </c:pt>
            </c:numLit>
          </c:xVal>
          <c:yVal>
            <c:numLit>
              <c:formatCode>General</c:formatCode>
              <c:ptCount val="1"/>
              <c:pt idx="0">
                <c:v>2.2888098961214864E-2</c:v>
              </c:pt>
            </c:numLit>
          </c:yVal>
          <c:smooth val="0"/>
          <c:extLst>
            <c:ext xmlns:c16="http://schemas.microsoft.com/office/drawing/2014/chart" uri="{C3380CC4-5D6E-409C-BE32-E72D297353CC}">
              <c16:uniqueId val="{0000008A-80A6-4898-BA1B-CA5225561492}"/>
            </c:ext>
          </c:extLst>
        </c:ser>
        <c:ser>
          <c:idx val="115"/>
          <c:order val="115"/>
          <c:spPr>
            <a:ln w="3175">
              <a:solidFill>
                <a:srgbClr val="000000"/>
              </a:solidFill>
              <a:prstDash val="solid"/>
            </a:ln>
          </c:spPr>
          <c:marker>
            <c:symbol val="none"/>
          </c:marker>
          <c:xVal>
            <c:numLit>
              <c:formatCode>General</c:formatCode>
              <c:ptCount val="2"/>
              <c:pt idx="0">
                <c:v>-5.9038542059388899</c:v>
              </c:pt>
              <c:pt idx="1">
                <c:v>-6.203438972300245</c:v>
              </c:pt>
            </c:numLit>
          </c:xVal>
          <c:yVal>
            <c:numLit>
              <c:formatCode>General</c:formatCode>
              <c:ptCount val="2"/>
              <c:pt idx="0">
                <c:v>2.2582699839968617E-2</c:v>
              </c:pt>
              <c:pt idx="1">
                <c:v>2.2591937961968029E-2</c:v>
              </c:pt>
            </c:numLit>
          </c:yVal>
          <c:smooth val="0"/>
          <c:extLst>
            <c:ext xmlns:c16="http://schemas.microsoft.com/office/drawing/2014/chart" uri="{C3380CC4-5D6E-409C-BE32-E72D297353CC}">
              <c16:uniqueId val="{0000008B-80A6-4898-BA1B-CA5225561492}"/>
            </c:ext>
          </c:extLst>
        </c:ser>
        <c:ser>
          <c:idx val="116"/>
          <c:order val="116"/>
          <c:spPr>
            <a:ln w="3175">
              <a:solidFill>
                <a:srgbClr val="000000"/>
              </a:solidFill>
              <a:prstDash val="solid"/>
            </a:ln>
          </c:spPr>
          <c:marker>
            <c:symbol val="none"/>
          </c:marker>
          <c:xVal>
            <c:numLit>
              <c:formatCode>General</c:formatCode>
              <c:ptCount val="2"/>
              <c:pt idx="0">
                <c:v>-5.9130153799827969</c:v>
              </c:pt>
              <c:pt idx="1">
                <c:v>-6.2127719183574754</c:v>
              </c:pt>
            </c:numLit>
          </c:xVal>
          <c:yVal>
            <c:numLit>
              <c:formatCode>General</c:formatCode>
              <c:ptCount val="2"/>
              <c:pt idx="0">
                <c:v>2.2467323292742421E-2</c:v>
              </c:pt>
              <c:pt idx="1">
                <c:v>2.247439810448134E-2</c:v>
              </c:pt>
            </c:numLit>
          </c:yVal>
          <c:smooth val="0"/>
          <c:extLst>
            <c:ext xmlns:c16="http://schemas.microsoft.com/office/drawing/2014/chart" uri="{C3380CC4-5D6E-409C-BE32-E72D297353CC}">
              <c16:uniqueId val="{0000008C-80A6-4898-BA1B-CA5225561492}"/>
            </c:ext>
          </c:extLst>
        </c:ser>
        <c:ser>
          <c:idx val="117"/>
          <c:order val="117"/>
          <c:spPr>
            <a:ln w="3175">
              <a:solidFill>
                <a:srgbClr val="000000"/>
              </a:solidFill>
              <a:prstDash val="solid"/>
            </a:ln>
          </c:spPr>
          <c:marker>
            <c:symbol val="none"/>
          </c:marker>
          <c:xVal>
            <c:numLit>
              <c:formatCode>General</c:formatCode>
              <c:ptCount val="2"/>
              <c:pt idx="0">
                <c:v>-5.9260000000000002</c:v>
              </c:pt>
              <c:pt idx="1">
                <c:v>-6.5260000000000016</c:v>
              </c:pt>
            </c:numLit>
          </c:xVal>
          <c:yVal>
            <c:numLit>
              <c:formatCode>General</c:formatCode>
              <c:ptCount val="2"/>
              <c:pt idx="0">
                <c:v>2.2089999999999999E-2</c:v>
              </c:pt>
              <c:pt idx="1">
                <c:v>2.2089999999999999E-2</c:v>
              </c:pt>
            </c:numLit>
          </c:yVal>
          <c:smooth val="0"/>
          <c:extLst>
            <c:ext xmlns:c16="http://schemas.microsoft.com/office/drawing/2014/chart" uri="{C3380CC4-5D6E-409C-BE32-E72D297353CC}">
              <c16:uniqueId val="{0000008D-80A6-4898-BA1B-CA5225561492}"/>
            </c:ext>
          </c:extLst>
        </c:ser>
        <c:ser>
          <c:idx val="118"/>
          <c:order val="118"/>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E-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-7.9260000000000002</c:v>
              </c:pt>
            </c:numLit>
          </c:xVal>
          <c:yVal>
            <c:numLit>
              <c:formatCode>General</c:formatCode>
              <c:ptCount val="1"/>
              <c:pt idx="0">
                <c:v>2.2089999999999999E-2</c:v>
              </c:pt>
            </c:numLit>
          </c:yVal>
          <c:smooth val="0"/>
          <c:extLst>
            <c:ext xmlns:c16="http://schemas.microsoft.com/office/drawing/2014/chart" uri="{C3380CC4-5D6E-409C-BE32-E72D297353CC}">
              <c16:uniqueId val="{0000008F-80A6-4898-BA1B-CA5225561492}"/>
            </c:ext>
          </c:extLst>
        </c:ser>
        <c:ser>
          <c:idx val="119"/>
          <c:order val="119"/>
          <c:spPr>
            <a:ln w="3175">
              <a:solidFill>
                <a:srgbClr val="000000"/>
              </a:solidFill>
              <a:prstDash val="solid"/>
            </a:ln>
          </c:spPr>
          <c:marker>
            <c:symbol val="none"/>
          </c:marker>
          <c:xVal>
            <c:numLit>
              <c:formatCode>General</c:formatCode>
              <c:ptCount val="2"/>
              <c:pt idx="0">
                <c:v>-5.9091195993230432</c:v>
              </c:pt>
              <c:pt idx="1">
                <c:v>-6.5084865842976587</c:v>
              </c:pt>
            </c:numLit>
          </c:xVal>
          <c:yVal>
            <c:numLit>
              <c:formatCode>General</c:formatCode>
              <c:ptCount val="2"/>
              <c:pt idx="0">
                <c:v>2.165980642469871E-2</c:v>
              </c:pt>
              <c:pt idx="1">
                <c:v>2.1643674165624915E-2</c:v>
              </c:pt>
            </c:numLit>
          </c:yVal>
          <c:smooth val="0"/>
          <c:extLst>
            <c:ext xmlns:c16="http://schemas.microsoft.com/office/drawing/2014/chart" uri="{C3380CC4-5D6E-409C-BE32-E72D297353CC}">
              <c16:uniqueId val="{00000090-80A6-4898-BA1B-CA5225561492}"/>
            </c:ext>
          </c:extLst>
        </c:ser>
        <c:ser>
          <c:idx val="120"/>
          <c:order val="120"/>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1-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-7.907009549238424</c:v>
              </c:pt>
            </c:numLit>
          </c:xVal>
          <c:yVal>
            <c:numLit>
              <c:formatCode>General</c:formatCode>
              <c:ptCount val="1"/>
              <c:pt idx="0">
                <c:v>2.1606032227786051E-2</c:v>
              </c:pt>
            </c:numLit>
          </c:yVal>
          <c:smooth val="0"/>
          <c:extLst>
            <c:ext xmlns:c16="http://schemas.microsoft.com/office/drawing/2014/chart" uri="{C3380CC4-5D6E-409C-BE32-E72D297353CC}">
              <c16:uniqueId val="{00000092-80A6-4898-BA1B-CA5225561492}"/>
            </c:ext>
          </c:extLst>
        </c:ser>
        <c:ser>
          <c:idx val="121"/>
          <c:order val="121"/>
          <c:spPr>
            <a:ln w="3175">
              <a:solidFill>
                <a:srgbClr val="000000"/>
              </a:solidFill>
              <a:prstDash val="solid"/>
            </a:ln>
          </c:spPr>
          <c:marker>
            <c:symbol val="none"/>
          </c:marker>
          <c:xVal>
            <c:numLit>
              <c:formatCode>General</c:formatCode>
              <c:ptCount val="2"/>
              <c:pt idx="0">
                <c:v>-5.894578040400928</c:v>
              </c:pt>
              <c:pt idx="1">
                <c:v>-6.1939888786584465</c:v>
              </c:pt>
            </c:numLit>
          </c:xVal>
          <c:yVal>
            <c:numLit>
              <c:formatCode>General</c:formatCode>
              <c:ptCount val="2"/>
              <c:pt idx="0">
                <c:v>2.1503199566169667E-2</c:v>
              </c:pt>
              <c:pt idx="1">
                <c:v>2.1492197058035348E-2</c:v>
              </c:pt>
            </c:numLit>
          </c:yVal>
          <c:smooth val="0"/>
          <c:extLst>
            <c:ext xmlns:c16="http://schemas.microsoft.com/office/drawing/2014/chart" uri="{C3380CC4-5D6E-409C-BE32-E72D297353CC}">
              <c16:uniqueId val="{00000093-80A6-4898-BA1B-CA5225561492}"/>
            </c:ext>
          </c:extLst>
        </c:ser>
        <c:ser>
          <c:idx val="122"/>
          <c:order val="122"/>
          <c:spPr>
            <a:ln w="3175">
              <a:solidFill>
                <a:srgbClr val="000000"/>
              </a:solidFill>
              <a:prstDash val="solid"/>
            </a:ln>
          </c:spPr>
          <c:marker>
            <c:symbol val="none"/>
          </c:marker>
          <c:xVal>
            <c:numLit>
              <c:formatCode>General</c:formatCode>
              <c:ptCount val="2"/>
              <c:pt idx="0">
                <c:v>-5.848343237322787</c:v>
              </c:pt>
              <c:pt idx="1">
                <c:v>-6.445431108722393</c:v>
              </c:pt>
            </c:numLit>
          </c:xVal>
          <c:yVal>
            <c:numLit>
              <c:formatCode>General</c:formatCode>
              <c:ptCount val="2"/>
              <c:pt idx="0">
                <c:v>2.1168173569382859E-2</c:v>
              </c:pt>
              <c:pt idx="1">
                <c:v>2.1133605078234717E-2</c:v>
              </c:pt>
            </c:numLit>
          </c:yVal>
          <c:smooth val="0"/>
          <c:extLst>
            <c:ext xmlns:c16="http://schemas.microsoft.com/office/drawing/2014/chart" uri="{C3380CC4-5D6E-409C-BE32-E72D297353CC}">
              <c16:uniqueId val="{00000094-80A6-4898-BA1B-CA5225561492}"/>
            </c:ext>
          </c:extLst>
        </c:ser>
        <c:ser>
          <c:idx val="123"/>
          <c:order val="123"/>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5-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-7.8386361419881352</c:v>
              </c:pt>
            </c:numLit>
          </c:xVal>
          <c:yVal>
            <c:numLit>
              <c:formatCode>General</c:formatCode>
              <c:ptCount val="1"/>
              <c:pt idx="0">
                <c:v>2.105294526555572E-2</c:v>
              </c:pt>
            </c:numLit>
          </c:yVal>
          <c:smooth val="0"/>
          <c:extLst>
            <c:ext xmlns:c16="http://schemas.microsoft.com/office/drawing/2014/chart" uri="{C3380CC4-5D6E-409C-BE32-E72D297353CC}">
              <c16:uniqueId val="{00000096-80A6-4898-BA1B-CA5225561492}"/>
            </c:ext>
          </c:extLst>
        </c:ser>
        <c:ser>
          <c:idx val="124"/>
          <c:order val="124"/>
          <c:spPr>
            <a:ln w="3175">
              <a:solidFill>
                <a:srgbClr val="000000"/>
              </a:solidFill>
              <a:prstDash val="solid"/>
            </a:ln>
          </c:spPr>
          <c:marker>
            <c:symbol val="none"/>
          </c:marker>
          <c:xVal>
            <c:numLit>
              <c:formatCode>General</c:formatCode>
              <c:ptCount val="2"/>
              <c:pt idx="0">
                <c:v>-5.7739939891054988</c:v>
              </c:pt>
              <c:pt idx="1">
                <c:v>-6.3682937636969568</c:v>
              </c:pt>
            </c:numLit>
          </c:xVal>
          <c:yVal>
            <c:numLit>
              <c:formatCode>General</c:formatCode>
              <c:ptCount val="2"/>
              <c:pt idx="0">
                <c:v>2.0801799225528907E-2</c:v>
              </c:pt>
              <c:pt idx="1">
                <c:v>2.0753491696486243E-2</c:v>
              </c:pt>
            </c:numLit>
          </c:yVal>
          <c:smooth val="0"/>
          <c:extLst>
            <c:ext xmlns:c16="http://schemas.microsoft.com/office/drawing/2014/chart" uri="{C3380CC4-5D6E-409C-BE32-E72D297353CC}">
              <c16:uniqueId val="{00000097-80A6-4898-BA1B-CA5225561492}"/>
            </c:ext>
          </c:extLst>
        </c:ser>
        <c:ser>
          <c:idx val="125"/>
          <c:order val="125"/>
          <c:spPr>
            <a:ln w="3175">
              <a:solidFill>
                <a:srgbClr val="000000"/>
              </a:solidFill>
              <a:prstDash val="solid"/>
            </a:ln>
          </c:spPr>
          <c:marker>
            <c:symbol val="none"/>
          </c:marker>
          <c:dLbls>
            <c:dLbl>
              <c:idx val="0"/>
              <c:tx>
                <c:rich>
                  <a:bodyPr rot="-48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15000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8-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-7.7549932377436859</c:v>
              </c:pt>
            </c:numLit>
          </c:xVal>
          <c:yVal>
            <c:numLit>
              <c:formatCode>General</c:formatCode>
              <c:ptCount val="1"/>
              <c:pt idx="0">
                <c:v>2.0640774128720021E-2</c:v>
              </c:pt>
            </c:numLit>
          </c:yVal>
          <c:smooth val="0"/>
          <c:extLst>
            <c:ext xmlns:c16="http://schemas.microsoft.com/office/drawing/2014/chart" uri="{C3380CC4-5D6E-409C-BE32-E72D297353CC}">
              <c16:uniqueId val="{00000099-80A6-4898-BA1B-CA5225561492}"/>
            </c:ext>
          </c:extLst>
        </c:ser>
        <c:ser>
          <c:idx val="126"/>
          <c:order val="126"/>
          <c:spPr>
            <a:ln w="3175">
              <a:solidFill>
                <a:srgbClr val="000000"/>
              </a:solidFill>
              <a:prstDash val="solid"/>
            </a:ln>
          </c:spPr>
          <c:marker>
            <c:symbol val="none"/>
          </c:marker>
          <c:xVal>
            <c:numLit>
              <c:formatCode>General</c:formatCode>
              <c:ptCount val="2"/>
              <c:pt idx="0">
                <c:v>-5.7465637260034192</c:v>
              </c:pt>
              <c:pt idx="1">
                <c:v>-6.0431992958659837</c:v>
              </c:pt>
            </c:numLit>
          </c:xVal>
          <c:yVal>
            <c:numLit>
              <c:formatCode>General</c:formatCode>
              <c:ptCount val="2"/>
              <c:pt idx="0">
                <c:v>2.0690988805760126E-2</c:v>
              </c:pt>
              <c:pt idx="1">
                <c:v>2.0664757345868128E-2</c:v>
              </c:pt>
            </c:numLit>
          </c:yVal>
          <c:smooth val="0"/>
          <c:extLst>
            <c:ext xmlns:c16="http://schemas.microsoft.com/office/drawing/2014/chart" uri="{C3380CC4-5D6E-409C-BE32-E72D297353CC}">
              <c16:uniqueId val="{0000009A-80A6-4898-BA1B-CA5225561492}"/>
            </c:ext>
          </c:extLst>
        </c:ser>
        <c:ser>
          <c:idx val="127"/>
          <c:order val="127"/>
          <c:spPr>
            <a:ln w="3175">
              <a:solidFill>
                <a:srgbClr val="000000"/>
              </a:solidFill>
              <a:prstDash val="solid"/>
            </a:ln>
          </c:spPr>
          <c:marker>
            <c:symbol val="none"/>
          </c:marker>
          <c:xVal>
            <c:numLit>
              <c:formatCode>General</c:formatCode>
              <c:ptCount val="2"/>
              <c:pt idx="0">
                <c:v>-5.711038721800092</c:v>
              </c:pt>
              <c:pt idx="1">
                <c:v>-6.0070081978338443</c:v>
              </c:pt>
            </c:numLit>
          </c:xVal>
          <c:yVal>
            <c:numLit>
              <c:formatCode>General</c:formatCode>
              <c:ptCount val="2"/>
              <c:pt idx="0">
                <c:v>2.0559604697450051E-2</c:v>
              </c:pt>
              <c:pt idx="1">
                <c:v>2.053090978552724E-2</c:v>
              </c:pt>
            </c:numLit>
          </c:yVal>
          <c:smooth val="0"/>
          <c:extLst>
            <c:ext xmlns:c16="http://schemas.microsoft.com/office/drawing/2014/chart" uri="{C3380CC4-5D6E-409C-BE32-E72D297353CC}">
              <c16:uniqueId val="{0000009B-80A6-4898-BA1B-CA5225561492}"/>
            </c:ext>
          </c:extLst>
        </c:ser>
        <c:ser>
          <c:idx val="128"/>
          <c:order val="128"/>
          <c:spPr>
            <a:ln w="3175">
              <a:solidFill>
                <a:srgbClr val="000000"/>
              </a:solidFill>
              <a:prstDash val="solid"/>
            </a:ln>
          </c:spPr>
          <c:marker>
            <c:symbol val="none"/>
          </c:marker>
          <c:xVal>
            <c:numLit>
              <c:formatCode>General</c:formatCode>
              <c:ptCount val="2"/>
              <c:pt idx="0">
                <c:v>-5.6639220080512498</c:v>
              </c:pt>
              <c:pt idx="1">
                <c:v>-6.2540940833531726</c:v>
              </c:pt>
            </c:numLit>
          </c:xVal>
          <c:yVal>
            <c:numLit>
              <c:formatCode>General</c:formatCode>
              <c:ptCount val="2"/>
              <c:pt idx="0">
                <c:v>2.0401439389339485E-2</c:v>
              </c:pt>
              <c:pt idx="1">
                <c:v>2.0338118366439714E-2</c:v>
              </c:pt>
            </c:numLit>
          </c:yVal>
          <c:smooth val="0"/>
          <c:extLst>
            <c:ext xmlns:c16="http://schemas.microsoft.com/office/drawing/2014/chart" uri="{C3380CC4-5D6E-409C-BE32-E72D297353CC}">
              <c16:uniqueId val="{0000009C-80A6-4898-BA1B-CA5225561492}"/>
            </c:ext>
          </c:extLst>
        </c:ser>
        <c:ser>
          <c:idx val="129"/>
          <c:order val="129"/>
          <c:spPr>
            <a:ln w="3175">
              <a:solidFill>
                <a:srgbClr val="000000"/>
              </a:solidFill>
              <a:prstDash val="solid"/>
            </a:ln>
          </c:spPr>
          <c:marker>
            <c:symbol val="none"/>
          </c:marker>
          <c:xVal>
            <c:numLit>
              <c:formatCode>General</c:formatCode>
              <c:ptCount val="2"/>
              <c:pt idx="0">
                <c:v>-5.5996266632109233</c:v>
              </c:pt>
              <c:pt idx="1">
                <c:v>-5.8935071631461291</c:v>
              </c:pt>
            </c:numLit>
          </c:xVal>
          <c:yVal>
            <c:numLit>
              <c:formatCode>General</c:formatCode>
              <c:ptCount val="2"/>
              <c:pt idx="0">
                <c:v>2.0207572034326837E-2</c:v>
              </c:pt>
              <c:pt idx="1">
                <c:v>2.0172276509970465E-2</c:v>
              </c:pt>
            </c:numLit>
          </c:yVal>
          <c:smooth val="0"/>
          <c:extLst>
            <c:ext xmlns:c16="http://schemas.microsoft.com/office/drawing/2014/chart" uri="{C3380CC4-5D6E-409C-BE32-E72D297353CC}">
              <c16:uniqueId val="{0000009D-80A6-4898-BA1B-CA5225561492}"/>
            </c:ext>
          </c:extLst>
        </c:ser>
        <c:ser>
          <c:idx val="130"/>
          <c:order val="130"/>
          <c:spPr>
            <a:ln w="3175">
              <a:solidFill>
                <a:srgbClr val="000000"/>
              </a:solidFill>
              <a:prstDash val="solid"/>
            </a:ln>
          </c:spPr>
          <c:marker>
            <c:symbol val="none"/>
          </c:marker>
          <c:xVal>
            <c:numLit>
              <c:formatCode>General</c:formatCode>
              <c:ptCount val="2"/>
              <c:pt idx="0">
                <c:v>-5.5088021423748152</c:v>
              </c:pt>
              <c:pt idx="1">
                <c:v>-6.0931572227138719</c:v>
              </c:pt>
            </c:numLit>
          </c:xVal>
          <c:yVal>
            <c:numLit>
              <c:formatCode>General</c:formatCode>
              <c:ptCount val="2"/>
              <c:pt idx="0">
                <c:v>1.9964757470577275E-2</c:v>
              </c:pt>
              <c:pt idx="1">
                <c:v>1.9885060875723923E-2</c:v>
              </c:pt>
            </c:numLit>
          </c:yVal>
          <c:smooth val="0"/>
          <c:extLst>
            <c:ext xmlns:c16="http://schemas.microsoft.com/office/drawing/2014/chart" uri="{C3380CC4-5D6E-409C-BE32-E72D297353CC}">
              <c16:uniqueId val="{0000009E-80A6-4898-BA1B-CA5225561492}"/>
            </c:ext>
          </c:extLst>
        </c:ser>
        <c:ser>
          <c:idx val="131"/>
          <c:order val="131"/>
          <c:spPr>
            <a:ln w="3175">
              <a:solidFill>
                <a:srgbClr val="000000"/>
              </a:solidFill>
              <a:prstDash val="solid"/>
            </a:ln>
          </c:spPr>
          <c:marker>
            <c:symbol val="none"/>
          </c:marker>
          <c:dLbls>
            <c:dLbl>
              <c:idx val="0"/>
              <c:tx>
                <c:rich>
                  <a:bodyPr rot="-7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F-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-7.4566524101716674</c:v>
              </c:pt>
            </c:numLit>
          </c:xVal>
          <c:yVal>
            <c:numLit>
              <c:formatCode>General</c:formatCode>
              <c:ptCount val="1"/>
              <c:pt idx="0">
                <c:v>1.9699102154399437E-2</c:v>
              </c:pt>
            </c:numLit>
          </c:yVal>
          <c:smooth val="0"/>
          <c:extLst>
            <c:ext xmlns:c16="http://schemas.microsoft.com/office/drawing/2014/chart" uri="{C3380CC4-5D6E-409C-BE32-E72D297353CC}">
              <c16:uniqueId val="{000000A0-80A6-4898-BA1B-CA5225561492}"/>
            </c:ext>
          </c:extLst>
        </c:ser>
        <c:ser>
          <c:idx val="132"/>
          <c:order val="132"/>
          <c:spPr>
            <a:ln w="3175">
              <a:solidFill>
                <a:srgbClr val="000000"/>
              </a:solidFill>
              <a:prstDash val="solid"/>
            </a:ln>
          </c:spPr>
          <c:marker>
            <c:symbol val="none"/>
          </c:marker>
          <c:xVal>
            <c:numLit>
              <c:formatCode>General</c:formatCode>
              <c:ptCount val="2"/>
              <c:pt idx="0">
                <c:v>-5.3748980291257897</c:v>
              </c:pt>
              <c:pt idx="1">
                <c:v>-5.9542317052180085</c:v>
              </c:pt>
            </c:numLit>
          </c:xVal>
          <c:yVal>
            <c:numLit>
              <c:formatCode>General</c:formatCode>
              <c:ptCount val="2"/>
              <c:pt idx="0">
                <c:v>1.9652577409680225E-2</c:v>
              </c:pt>
              <c:pt idx="1">
                <c:v>1.9561174062543235E-2</c:v>
              </c:pt>
            </c:numLit>
          </c:yVal>
          <c:smooth val="0"/>
          <c:extLst>
            <c:ext xmlns:c16="http://schemas.microsoft.com/office/drawing/2014/chart" uri="{C3380CC4-5D6E-409C-BE32-E72D297353CC}">
              <c16:uniqueId val="{000000A1-80A6-4898-BA1B-CA5225561492}"/>
            </c:ext>
          </c:extLst>
        </c:ser>
        <c:ser>
          <c:idx val="133"/>
          <c:order val="133"/>
          <c:spPr>
            <a:ln w="3175">
              <a:solidFill>
                <a:srgbClr val="000000"/>
              </a:solidFill>
              <a:prstDash val="solid"/>
            </a:ln>
          </c:spPr>
          <c:marker>
            <c:symbol val="none"/>
          </c:marker>
          <c:xVal>
            <c:numLit>
              <c:formatCode>General</c:formatCode>
              <c:ptCount val="2"/>
              <c:pt idx="0">
                <c:v>-5.2829443900298614</c:v>
              </c:pt>
              <c:pt idx="1">
                <c:v>-5.5708870973429221</c:v>
              </c:pt>
            </c:numLit>
          </c:xVal>
          <c:yVal>
            <c:numLit>
              <c:formatCode>General</c:formatCode>
              <c:ptCount val="2"/>
              <c:pt idx="0">
                <c:v>1.9460923233841701E-2</c:v>
              </c:pt>
              <c:pt idx="1">
                <c:v>1.9411628044476232E-2</c:v>
              </c:pt>
            </c:numLit>
          </c:yVal>
          <c:smooth val="0"/>
          <c:extLst>
            <c:ext xmlns:c16="http://schemas.microsoft.com/office/drawing/2014/chart" uri="{C3380CC4-5D6E-409C-BE32-E72D297353CC}">
              <c16:uniqueId val="{000000A2-80A6-4898-BA1B-CA5225561492}"/>
            </c:ext>
          </c:extLst>
        </c:ser>
        <c:ser>
          <c:idx val="134"/>
          <c:order val="134"/>
          <c:spPr>
            <a:ln w="3175">
              <a:solidFill>
                <a:srgbClr val="000000"/>
              </a:solidFill>
              <a:prstDash val="solid"/>
            </a:ln>
          </c:spPr>
          <c:marker>
            <c:symbol val="none"/>
          </c:marker>
          <c:xVal>
            <c:numLit>
              <c:formatCode>General</c:formatCode>
              <c:ptCount val="2"/>
              <c:pt idx="0">
                <c:v>-5.166553543121811</c:v>
              </c:pt>
              <c:pt idx="1">
                <c:v>-5.7380743009888802</c:v>
              </c:pt>
            </c:numLit>
          </c:xVal>
          <c:yVal>
            <c:numLit>
              <c:formatCode>General</c:formatCode>
              <c:ptCount val="2"/>
              <c:pt idx="0">
                <c:v>1.9238193372248906E-2</c:v>
              </c:pt>
              <c:pt idx="1">
                <c:v>1.913125062370824E-2</c:v>
              </c:pt>
            </c:numLit>
          </c:yVal>
          <c:smooth val="0"/>
          <c:extLst>
            <c:ext xmlns:c16="http://schemas.microsoft.com/office/drawing/2014/chart" uri="{C3380CC4-5D6E-409C-BE32-E72D297353CC}">
              <c16:uniqueId val="{000000A3-80A6-4898-BA1B-CA5225561492}"/>
            </c:ext>
          </c:extLst>
        </c:ser>
        <c:ser>
          <c:idx val="135"/>
          <c:order val="135"/>
          <c:spPr>
            <a:ln w="3175">
              <a:solidFill>
                <a:srgbClr val="000000"/>
              </a:solidFill>
              <a:prstDash val="solid"/>
            </a:ln>
          </c:spPr>
          <c:marker>
            <c:symbol val="none"/>
          </c:marker>
          <c:dLbls>
            <c:dLbl>
              <c:idx val="0"/>
              <c:tx>
                <c:rich>
                  <a:bodyPr rot="-10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8000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4-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-7.0716227360120376</c:v>
              </c:pt>
            </c:numLit>
          </c:xVal>
          <c:yVal>
            <c:numLit>
              <c:formatCode>General</c:formatCode>
              <c:ptCount val="1"/>
              <c:pt idx="0">
                <c:v>1.888171754378002E-2</c:v>
              </c:pt>
            </c:numLit>
          </c:yVal>
          <c:smooth val="0"/>
          <c:extLst>
            <c:ext xmlns:c16="http://schemas.microsoft.com/office/drawing/2014/chart" uri="{C3380CC4-5D6E-409C-BE32-E72D297353CC}">
              <c16:uniqueId val="{000000A5-80A6-4898-BA1B-CA5225561492}"/>
            </c:ext>
          </c:extLst>
        </c:ser>
        <c:ser>
          <c:idx val="136"/>
          <c:order val="136"/>
          <c:spPr>
            <a:ln w="3175">
              <a:solidFill>
                <a:srgbClr val="000000"/>
              </a:solidFill>
              <a:prstDash val="solid"/>
            </a:ln>
          </c:spPr>
          <c:marker>
            <c:symbol val="none"/>
          </c:marker>
          <c:xVal>
            <c:numLit>
              <c:formatCode>General</c:formatCode>
              <c:ptCount val="2"/>
              <c:pt idx="0">
                <c:v>-5.0165414533142396</c:v>
              </c:pt>
              <c:pt idx="1">
                <c:v>-5.2994891055638824</c:v>
              </c:pt>
            </c:numLit>
          </c:xVal>
          <c:yVal>
            <c:numLit>
              <c:formatCode>General</c:formatCode>
              <c:ptCount val="2"/>
              <c:pt idx="0">
                <c:v>1.8976723233057824E-2</c:v>
              </c:pt>
              <c:pt idx="1">
                <c:v>1.8918349293677656E-2</c:v>
              </c:pt>
            </c:numLit>
          </c:yVal>
          <c:smooth val="0"/>
          <c:extLst>
            <c:ext xmlns:c16="http://schemas.microsoft.com/office/drawing/2014/chart" uri="{C3380CC4-5D6E-409C-BE32-E72D297353CC}">
              <c16:uniqueId val="{000000A6-80A6-4898-BA1B-CA5225561492}"/>
            </c:ext>
          </c:extLst>
        </c:ser>
        <c:ser>
          <c:idx val="137"/>
          <c:order val="137"/>
          <c:spPr>
            <a:ln w="3175">
              <a:solidFill>
                <a:srgbClr val="000000"/>
              </a:solidFill>
              <a:prstDash val="solid"/>
            </a:ln>
          </c:spPr>
          <c:marker>
            <c:symbol val="none"/>
          </c:marker>
          <c:xVal>
            <c:numLit>
              <c:formatCode>General</c:formatCode>
              <c:ptCount val="2"/>
              <c:pt idx="0">
                <c:v>-4.8191692468353651</c:v>
              </c:pt>
              <c:pt idx="1">
                <c:v>-5.3776630935916927</c:v>
              </c:pt>
            </c:numLit>
          </c:xVal>
          <c:yVal>
            <c:numLit>
              <c:formatCode>General</c:formatCode>
              <c:ptCount val="2"/>
              <c:pt idx="0">
                <c:v>1.8666392459664831E-2</c:v>
              </c:pt>
              <c:pt idx="1">
                <c:v>1.8538007176902262E-2</c:v>
              </c:pt>
            </c:numLit>
          </c:yVal>
          <c:smooth val="0"/>
          <c:extLst>
            <c:ext xmlns:c16="http://schemas.microsoft.com/office/drawing/2014/chart" uri="{C3380CC4-5D6E-409C-BE32-E72D297353CC}">
              <c16:uniqueId val="{000000A7-80A6-4898-BA1B-CA5225561492}"/>
            </c:ext>
          </c:extLst>
        </c:ser>
        <c:ser>
          <c:idx val="138"/>
          <c:order val="138"/>
          <c:spPr>
            <a:ln w="3175">
              <a:solidFill>
                <a:srgbClr val="000000"/>
              </a:solidFill>
              <a:prstDash val="solid"/>
            </a:ln>
          </c:spPr>
          <c:marker>
            <c:symbol val="none"/>
          </c:marker>
          <c:dLbls>
            <c:dLbl>
              <c:idx val="0"/>
              <c:tx>
                <c:rich>
                  <a:bodyPr rot="-12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7000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8-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-6.6808154026897855</c:v>
              </c:pt>
            </c:numLit>
          </c:xVal>
          <c:yVal>
            <c:numLit>
              <c:formatCode>General</c:formatCode>
              <c:ptCount val="1"/>
              <c:pt idx="0">
                <c:v>1.8238441517122936E-2</c:v>
              </c:pt>
            </c:numLit>
          </c:yVal>
          <c:smooth val="0"/>
          <c:extLst>
            <c:ext xmlns:c16="http://schemas.microsoft.com/office/drawing/2014/chart" uri="{C3380CC4-5D6E-409C-BE32-E72D297353CC}">
              <c16:uniqueId val="{000000A9-80A6-4898-BA1B-CA5225561492}"/>
            </c:ext>
          </c:extLst>
        </c:ser>
        <c:ser>
          <c:idx val="139"/>
          <c:order val="139"/>
          <c:spPr>
            <a:ln w="3175">
              <a:solidFill>
                <a:srgbClr val="000000"/>
              </a:solidFill>
              <a:prstDash val="solid"/>
            </a:ln>
          </c:spPr>
          <c:marker>
            <c:symbol val="none"/>
          </c:marker>
          <c:xVal>
            <c:numLit>
              <c:formatCode>General</c:formatCode>
              <c:ptCount val="2"/>
              <c:pt idx="0">
                <c:v>-4.7225706908273839</c:v>
              </c:pt>
              <c:pt idx="1">
                <c:v>-5.0000063912803983</c:v>
              </c:pt>
            </c:numLit>
          </c:xVal>
          <c:yVal>
            <c:numLit>
              <c:formatCode>General</c:formatCode>
              <c:ptCount val="2"/>
              <c:pt idx="0">
                <c:v>1.852570529591873E-2</c:v>
              </c:pt>
              <c:pt idx="1">
                <c:v>1.8458874770217206E-2</c:v>
              </c:pt>
            </c:numLit>
          </c:yVal>
          <c:smooth val="0"/>
          <c:extLst>
            <c:ext xmlns:c16="http://schemas.microsoft.com/office/drawing/2014/chart" uri="{C3380CC4-5D6E-409C-BE32-E72D297353CC}">
              <c16:uniqueId val="{000000AA-80A6-4898-BA1B-CA5225561492}"/>
            </c:ext>
          </c:extLst>
        </c:ser>
        <c:ser>
          <c:idx val="140"/>
          <c:order val="140"/>
          <c:spPr>
            <a:ln w="3175">
              <a:solidFill>
                <a:srgbClr val="000000"/>
              </a:solidFill>
              <a:prstDash val="solid"/>
            </a:ln>
          </c:spPr>
          <c:marker>
            <c:symbol val="none"/>
          </c:marker>
          <c:xVal>
            <c:numLit>
              <c:formatCode>General</c:formatCode>
              <c:ptCount val="2"/>
              <c:pt idx="0">
                <c:v>-4.6133365013179315</c:v>
              </c:pt>
              <c:pt idx="1">
                <c:v>-4.8887240607176432</c:v>
              </c:pt>
            </c:numLit>
          </c:xVal>
          <c:yVal>
            <c:numLit>
              <c:formatCode>General</c:formatCode>
              <c:ptCount val="2"/>
              <c:pt idx="0">
                <c:v>1.8374062199382875E-2</c:v>
              </c:pt>
              <c:pt idx="1">
                <c:v>1.8304388365621305E-2</c:v>
              </c:pt>
            </c:numLit>
          </c:yVal>
          <c:smooth val="0"/>
          <c:extLst>
            <c:ext xmlns:c16="http://schemas.microsoft.com/office/drawing/2014/chart" uri="{C3380CC4-5D6E-409C-BE32-E72D297353CC}">
              <c16:uniqueId val="{000000AB-80A6-4898-BA1B-CA5225561492}"/>
            </c:ext>
          </c:extLst>
        </c:ser>
        <c:ser>
          <c:idx val="141"/>
          <c:order val="141"/>
          <c:spPr>
            <a:ln w="3175">
              <a:solidFill>
                <a:srgbClr val="000000"/>
              </a:solidFill>
              <a:prstDash val="solid"/>
            </a:ln>
          </c:spPr>
          <c:marker>
            <c:symbol val="none"/>
          </c:marker>
          <c:xVal>
            <c:numLit>
              <c:formatCode>General</c:formatCode>
              <c:ptCount val="2"/>
              <c:pt idx="0">
                <c:v>-4.489283395952409</c:v>
              </c:pt>
              <c:pt idx="1">
                <c:v>-4.7623449596265175</c:v>
              </c:pt>
            </c:numLit>
          </c:xVal>
          <c:yVal>
            <c:numLit>
              <c:formatCode>General</c:formatCode>
              <c:ptCount val="2"/>
              <c:pt idx="0">
                <c:v>1.8210304033555037E-2</c:v>
              </c:pt>
              <c:pt idx="1">
                <c:v>1.8137559734184197E-2</c:v>
              </c:pt>
            </c:numLit>
          </c:yVal>
          <c:smooth val="0"/>
          <c:extLst>
            <c:ext xmlns:c16="http://schemas.microsoft.com/office/drawing/2014/chart" uri="{C3380CC4-5D6E-409C-BE32-E72D297353CC}">
              <c16:uniqueId val="{000000AC-80A6-4898-BA1B-CA5225561492}"/>
            </c:ext>
          </c:extLst>
        </c:ser>
        <c:ser>
          <c:idx val="142"/>
          <c:order val="142"/>
          <c:spPr>
            <a:ln w="3175">
              <a:solidFill>
                <a:srgbClr val="000000"/>
              </a:solidFill>
              <a:prstDash val="solid"/>
            </a:ln>
          </c:spPr>
          <c:marker>
            <c:symbol val="none"/>
          </c:marker>
          <c:xVal>
            <c:numLit>
              <c:formatCode>General</c:formatCode>
              <c:ptCount val="2"/>
              <c:pt idx="0">
                <c:v>-4.3477677004724065</c:v>
              </c:pt>
              <c:pt idx="1">
                <c:v>-4.6181758448562649</c:v>
              </c:pt>
            </c:numLit>
          </c:xVal>
          <c:yVal>
            <c:numLit>
              <c:formatCode>General</c:formatCode>
              <c:ptCount val="2"/>
              <c:pt idx="0">
                <c:v>1.8033141873399092E-2</c:v>
              </c:pt>
              <c:pt idx="1">
                <c:v>1.7957075783525324E-2</c:v>
              </c:pt>
            </c:numLit>
          </c:yVal>
          <c:smooth val="0"/>
          <c:extLst>
            <c:ext xmlns:c16="http://schemas.microsoft.com/office/drawing/2014/chart" uri="{C3380CC4-5D6E-409C-BE32-E72D297353CC}">
              <c16:uniqueId val="{000000AD-80A6-4898-BA1B-CA5225561492}"/>
            </c:ext>
          </c:extLst>
        </c:ser>
        <c:ser>
          <c:idx val="143"/>
          <c:order val="143"/>
          <c:spPr>
            <a:ln w="3175">
              <a:solidFill>
                <a:srgbClr val="000000"/>
              </a:solidFill>
              <a:prstDash val="solid"/>
            </a:ln>
          </c:spPr>
          <c:marker>
            <c:symbol val="none"/>
          </c:marker>
          <c:xVal>
            <c:numLit>
              <c:formatCode>General</c:formatCode>
              <c:ptCount val="2"/>
              <c:pt idx="0">
                <c:v>-4.1855746659087778</c:v>
              </c:pt>
              <c:pt idx="1">
                <c:v>-4.7203087158803578</c:v>
              </c:pt>
            </c:numLit>
          </c:xVal>
          <c:yVal>
            <c:numLit>
              <c:formatCode>General</c:formatCode>
              <c:ptCount val="2"/>
              <c:pt idx="0">
                <c:v>1.784115154316511E-2</c:v>
              </c:pt>
              <c:pt idx="1">
                <c:v>1.76818197260338E-2</c:v>
              </c:pt>
            </c:numLit>
          </c:yVal>
          <c:smooth val="0"/>
          <c:extLst>
            <c:ext xmlns:c16="http://schemas.microsoft.com/office/drawing/2014/chart" uri="{C3380CC4-5D6E-409C-BE32-E72D297353CC}">
              <c16:uniqueId val="{000000AE-80A6-4898-BA1B-CA5225561492}"/>
            </c:ext>
          </c:extLst>
        </c:ser>
        <c:ser>
          <c:idx val="144"/>
          <c:order val="144"/>
          <c:spPr>
            <a:ln w="3175">
              <a:solidFill>
                <a:srgbClr val="000000"/>
              </a:solidFill>
              <a:prstDash val="solid"/>
            </a:ln>
          </c:spPr>
          <c:marker>
            <c:symbol val="none"/>
          </c:marker>
          <c:dLbls>
            <c:dLbl>
              <c:idx val="0"/>
              <c:tx>
                <c:rich>
                  <a:bodyPr rot="-16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6000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F-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-5.9680214991473752</c:v>
              </c:pt>
            </c:numLit>
          </c:xVal>
          <c:yVal>
            <c:numLit>
              <c:formatCode>General</c:formatCode>
              <c:ptCount val="1"/>
              <c:pt idx="0">
                <c:v>1.731004548606075E-2</c:v>
              </c:pt>
            </c:numLit>
          </c:yVal>
          <c:smooth val="0"/>
          <c:extLst>
            <c:ext xmlns:c16="http://schemas.microsoft.com/office/drawing/2014/chart" uri="{C3380CC4-5D6E-409C-BE32-E72D297353CC}">
              <c16:uniqueId val="{000000B0-80A6-4898-BA1B-CA5225561492}"/>
            </c:ext>
          </c:extLst>
        </c:ser>
        <c:ser>
          <c:idx val="145"/>
          <c:order val="145"/>
          <c:spPr>
            <a:ln w="3175">
              <a:solidFill>
                <a:srgbClr val="000000"/>
              </a:solidFill>
              <a:prstDash val="solid"/>
            </a:ln>
          </c:spPr>
          <c:marker>
            <c:symbol val="none"/>
          </c:marker>
          <c:xVal>
            <c:numLit>
              <c:formatCode>General</c:formatCode>
              <c:ptCount val="2"/>
              <c:pt idx="0">
                <c:v>-4.0955299737746884</c:v>
              </c:pt>
              <c:pt idx="1">
                <c:v>-4.3612086607829648</c:v>
              </c:pt>
            </c:numLit>
          </c:xVal>
          <c:yVal>
            <c:numLit>
              <c:formatCode>General</c:formatCode>
              <c:ptCount val="2"/>
              <c:pt idx="0">
                <c:v>1.7739113876389597E-2</c:v>
              </c:pt>
              <c:pt idx="1">
                <c:v>1.7657534761571905E-2</c:v>
              </c:pt>
            </c:numLit>
          </c:yVal>
          <c:smooth val="0"/>
          <c:extLst>
            <c:ext xmlns:c16="http://schemas.microsoft.com/office/drawing/2014/chart" uri="{C3380CC4-5D6E-409C-BE32-E72D297353CC}">
              <c16:uniqueId val="{000000B1-80A6-4898-BA1B-CA5225561492}"/>
            </c:ext>
          </c:extLst>
        </c:ser>
        <c:ser>
          <c:idx val="146"/>
          <c:order val="146"/>
          <c:spPr>
            <a:ln w="3175">
              <a:solidFill>
                <a:srgbClr val="000000"/>
              </a:solidFill>
              <a:prstDash val="solid"/>
            </a:ln>
          </c:spPr>
          <c:marker>
            <c:symbol val="none"/>
          </c:marker>
          <c:xVal>
            <c:numLit>
              <c:formatCode>General</c:formatCode>
              <c:ptCount val="2"/>
              <c:pt idx="0">
                <c:v>-3.998780006248202</c:v>
              </c:pt>
              <c:pt idx="1">
                <c:v>-4.2626446313653563</c:v>
              </c:pt>
            </c:numLit>
          </c:xVal>
          <c:yVal>
            <c:numLit>
              <c:formatCode>General</c:formatCode>
              <c:ptCount val="2"/>
              <c:pt idx="0">
                <c:v>1.7632774889087193E-2</c:v>
              </c:pt>
              <c:pt idx="1">
                <c:v>1.7549201918257575E-2</c:v>
              </c:pt>
            </c:numLit>
          </c:yVal>
          <c:smooth val="0"/>
          <c:extLst>
            <c:ext xmlns:c16="http://schemas.microsoft.com/office/drawing/2014/chart" uri="{C3380CC4-5D6E-409C-BE32-E72D297353CC}">
              <c16:uniqueId val="{000000B2-80A6-4898-BA1B-CA5225561492}"/>
            </c:ext>
          </c:extLst>
        </c:ser>
        <c:ser>
          <c:idx val="147"/>
          <c:order val="147"/>
          <c:spPr>
            <a:ln w="3175">
              <a:solidFill>
                <a:srgbClr val="000000"/>
              </a:solidFill>
              <a:prstDash val="solid"/>
            </a:ln>
          </c:spPr>
          <c:marker>
            <c:symbol val="none"/>
          </c:marker>
          <c:xVal>
            <c:numLit>
              <c:formatCode>General</c:formatCode>
              <c:ptCount val="2"/>
              <c:pt idx="0">
                <c:v>-3.8946951353973525</c:v>
              </c:pt>
              <c:pt idx="1">
                <c:v>-4.156608169186053</c:v>
              </c:pt>
            </c:numLit>
          </c:xVal>
          <c:yVal>
            <c:numLit>
              <c:formatCode>General</c:formatCode>
              <c:ptCount val="2"/>
              <c:pt idx="0">
                <c:v>1.7521921011946485E-2</c:v>
              </c:pt>
              <c:pt idx="1">
                <c:v>1.7436269530920482E-2</c:v>
              </c:pt>
            </c:numLit>
          </c:yVal>
          <c:smooth val="0"/>
          <c:extLst>
            <c:ext xmlns:c16="http://schemas.microsoft.com/office/drawing/2014/chart" uri="{C3380CC4-5D6E-409C-BE32-E72D297353CC}">
              <c16:uniqueId val="{000000B3-80A6-4898-BA1B-CA5225561492}"/>
            </c:ext>
          </c:extLst>
        </c:ser>
        <c:ser>
          <c:idx val="148"/>
          <c:order val="148"/>
          <c:spPr>
            <a:ln w="3175">
              <a:solidFill>
                <a:srgbClr val="000000"/>
              </a:solidFill>
              <a:prstDash val="solid"/>
            </a:ln>
          </c:spPr>
          <c:marker>
            <c:symbol val="none"/>
          </c:marker>
          <c:xVal>
            <c:numLit>
              <c:formatCode>General</c:formatCode>
              <c:ptCount val="2"/>
              <c:pt idx="0">
                <c:v>-3.7825777464306558</c:v>
              </c:pt>
              <c:pt idx="1">
                <c:v>-4.0423885791762313</c:v>
              </c:pt>
            </c:numLit>
          </c:xVal>
          <c:yVal>
            <c:numLit>
              <c:formatCode>General</c:formatCode>
              <c:ptCount val="2"/>
              <c:pt idx="0">
                <c:v>1.7406332952682162E-2</c:v>
              </c:pt>
              <c:pt idx="1">
                <c:v>1.7318514195544952E-2</c:v>
              </c:pt>
            </c:numLit>
          </c:yVal>
          <c:smooth val="0"/>
          <c:extLst>
            <c:ext xmlns:c16="http://schemas.microsoft.com/office/drawing/2014/chart" uri="{C3380CC4-5D6E-409C-BE32-E72D297353CC}">
              <c16:uniqueId val="{000000B4-80A6-4898-BA1B-CA5225561492}"/>
            </c:ext>
          </c:extLst>
        </c:ser>
        <c:ser>
          <c:idx val="149"/>
          <c:order val="149"/>
          <c:spPr>
            <a:ln w="3175">
              <a:solidFill>
                <a:srgbClr val="000000"/>
              </a:solidFill>
              <a:prstDash val="solid"/>
            </a:ln>
          </c:spPr>
          <c:marker>
            <c:symbol val="none"/>
          </c:marker>
          <c:xVal>
            <c:numLit>
              <c:formatCode>General</c:formatCode>
              <c:ptCount val="2"/>
              <c:pt idx="0">
                <c:v>-3.6616546175275477</c:v>
              </c:pt>
              <c:pt idx="1">
                <c:v>-4.1767416656848324</c:v>
              </c:pt>
            </c:numLit>
          </c:xVal>
          <c:yVal>
            <c:numLit>
              <c:formatCode>General</c:formatCode>
              <c:ptCount val="2"/>
              <c:pt idx="0">
                <c:v>1.7285787366411454E-2</c:v>
              </c:pt>
              <c:pt idx="1">
                <c:v>1.7105629392651884E-2</c:v>
              </c:pt>
            </c:numLit>
          </c:yVal>
          <c:smooth val="0"/>
          <c:extLst>
            <c:ext xmlns:c16="http://schemas.microsoft.com/office/drawing/2014/chart" uri="{C3380CC4-5D6E-409C-BE32-E72D297353CC}">
              <c16:uniqueId val="{000000B5-80A6-4898-BA1B-CA5225561492}"/>
            </c:ext>
          </c:extLst>
        </c:ser>
        <c:ser>
          <c:idx val="150"/>
          <c:order val="150"/>
          <c:spPr>
            <a:ln w="3175">
              <a:solidFill>
                <a:srgbClr val="000000"/>
              </a:solidFill>
              <a:prstDash val="solid"/>
            </a:ln>
          </c:spPr>
          <c:marker>
            <c:symbol val="none"/>
          </c:marker>
          <c:dLbls>
            <c:dLbl>
              <c:idx val="0"/>
              <c:tx>
                <c:rich>
                  <a:bodyPr rot="-18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6-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-5.3786114447184907</c:v>
              </c:pt>
            </c:numLit>
          </c:xVal>
          <c:yVal>
            <c:numLit>
              <c:formatCode>General</c:formatCode>
              <c:ptCount val="1"/>
              <c:pt idx="0">
                <c:v>1.6685260787212886E-2</c:v>
              </c:pt>
            </c:numLit>
          </c:yVal>
          <c:smooth val="0"/>
          <c:extLst>
            <c:ext xmlns:c16="http://schemas.microsoft.com/office/drawing/2014/chart" uri="{C3380CC4-5D6E-409C-BE32-E72D297353CC}">
              <c16:uniqueId val="{000000B7-80A6-4898-BA1B-CA5225561492}"/>
            </c:ext>
          </c:extLst>
        </c:ser>
        <c:ser>
          <c:idx val="151"/>
          <c:order val="151"/>
          <c:spPr>
            <a:ln w="3175">
              <a:solidFill>
                <a:srgbClr val="000000"/>
              </a:solidFill>
              <a:prstDash val="solid"/>
            </a:ln>
          </c:spPr>
          <c:marker>
            <c:symbol val="none"/>
          </c:marker>
          <c:xVal>
            <c:numLit>
              <c:formatCode>General</c:formatCode>
              <c:ptCount val="2"/>
              <c:pt idx="0">
                <c:v>-3.5310685925031429</c:v>
              </c:pt>
              <c:pt idx="1">
                <c:v>-3.7861636286125773</c:v>
              </c:pt>
            </c:numLit>
          </c:xVal>
          <c:yVal>
            <c:numLit>
              <c:formatCode>General</c:formatCode>
              <c:ptCount val="2"/>
              <c:pt idx="0">
                <c:v>1.7160059143280785E-2</c:v>
              </c:pt>
              <c:pt idx="1">
                <c:v>1.7067622752217296E-2</c:v>
              </c:pt>
            </c:numLit>
          </c:yVal>
          <c:smooth val="0"/>
          <c:extLst>
            <c:ext xmlns:c16="http://schemas.microsoft.com/office/drawing/2014/chart" uri="{C3380CC4-5D6E-409C-BE32-E72D297353CC}">
              <c16:uniqueId val="{000000B8-80A6-4898-BA1B-CA5225561492}"/>
            </c:ext>
          </c:extLst>
        </c:ser>
        <c:ser>
          <c:idx val="152"/>
          <c:order val="152"/>
          <c:spPr>
            <a:ln w="3175">
              <a:solidFill>
                <a:srgbClr val="000000"/>
              </a:solidFill>
              <a:prstDash val="solid"/>
            </a:ln>
          </c:spPr>
          <c:marker>
            <c:symbol val="none"/>
          </c:marker>
          <c:xVal>
            <c:numLit>
              <c:formatCode>General</c:formatCode>
              <c:ptCount val="2"/>
              <c:pt idx="0">
                <c:v>-3.3898695593086874</c:v>
              </c:pt>
              <c:pt idx="1">
                <c:v>-3.642317113545726</c:v>
              </c:pt>
            </c:numLit>
          </c:xVal>
          <c:yVal>
            <c:numLit>
              <c:formatCode>General</c:formatCode>
              <c:ptCount val="2"/>
              <c:pt idx="0">
                <c:v>1.7028924469903839E-2</c:v>
              </c:pt>
              <c:pt idx="1">
                <c:v>1.6934029303714536E-2</c:v>
              </c:pt>
            </c:numLit>
          </c:yVal>
          <c:smooth val="0"/>
          <c:extLst>
            <c:ext xmlns:c16="http://schemas.microsoft.com/office/drawing/2014/chart" uri="{C3380CC4-5D6E-409C-BE32-E72D297353CC}">
              <c16:uniqueId val="{000000B9-80A6-4898-BA1B-CA5225561492}"/>
            </c:ext>
          </c:extLst>
        </c:ser>
        <c:ser>
          <c:idx val="153"/>
          <c:order val="153"/>
          <c:spPr>
            <a:ln w="3175">
              <a:solidFill>
                <a:srgbClr val="000000"/>
              </a:solidFill>
              <a:prstDash val="solid"/>
            </a:ln>
          </c:spPr>
          <c:marker>
            <c:symbol val="none"/>
          </c:marker>
          <c:xVal>
            <c:numLit>
              <c:formatCode>General</c:formatCode>
              <c:ptCount val="2"/>
              <c:pt idx="0">
                <c:v>-3.2370047876397781</c:v>
              </c:pt>
              <c:pt idx="1">
                <c:v>-3.4865861274080245</c:v>
              </c:pt>
            </c:numLit>
          </c:xVal>
          <c:yVal>
            <c:numLit>
              <c:formatCode>General</c:formatCode>
              <c:ptCount val="2"/>
              <c:pt idx="0">
                <c:v>1.6892164854064209E-2</c:v>
              </c:pt>
              <c:pt idx="1">
                <c:v>1.6794705445077912E-2</c:v>
              </c:pt>
            </c:numLit>
          </c:yVal>
          <c:smooth val="0"/>
          <c:extLst>
            <c:ext xmlns:c16="http://schemas.microsoft.com/office/drawing/2014/chart" uri="{C3380CC4-5D6E-409C-BE32-E72D297353CC}">
              <c16:uniqueId val="{000000BA-80A6-4898-BA1B-CA5225561492}"/>
            </c:ext>
          </c:extLst>
        </c:ser>
        <c:ser>
          <c:idx val="154"/>
          <c:order val="154"/>
          <c:spPr>
            <a:ln w="3175">
              <a:solidFill>
                <a:srgbClr val="000000"/>
              </a:solidFill>
              <a:prstDash val="solid"/>
            </a:ln>
          </c:spPr>
          <c:marker>
            <c:symbol val="none"/>
          </c:marker>
          <c:xVal>
            <c:numLit>
              <c:formatCode>General</c:formatCode>
              <c:ptCount val="2"/>
              <c:pt idx="0">
                <c:v>-3.0713087373053121</c:v>
              </c:pt>
              <c:pt idx="1">
                <c:v>-3.3177832761297874</c:v>
              </c:pt>
            </c:numLit>
          </c:xVal>
          <c:yVal>
            <c:numLit>
              <c:formatCode>General</c:formatCode>
              <c:ptCount val="2"/>
              <c:pt idx="0">
                <c:v>1.6749572339624128E-2</c:v>
              </c:pt>
              <c:pt idx="1">
                <c:v>1.6649439320992079E-2</c:v>
              </c:pt>
            </c:numLit>
          </c:yVal>
          <c:smooth val="0"/>
          <c:extLst>
            <c:ext xmlns:c16="http://schemas.microsoft.com/office/drawing/2014/chart" uri="{C3380CC4-5D6E-409C-BE32-E72D297353CC}">
              <c16:uniqueId val="{000000BB-80A6-4898-BA1B-CA5225561492}"/>
            </c:ext>
          </c:extLst>
        </c:ser>
        <c:ser>
          <c:idx val="155"/>
          <c:order val="155"/>
          <c:spPr>
            <a:ln w="3175">
              <a:solidFill>
                <a:srgbClr val="000000"/>
              </a:solidFill>
              <a:prstDash val="solid"/>
            </a:ln>
          </c:spPr>
          <c:marker>
            <c:symbol val="none"/>
          </c:marker>
          <c:xVal>
            <c:numLit>
              <c:formatCode>General</c:formatCode>
              <c:ptCount val="2"/>
              <c:pt idx="0">
                <c:v>-2.8914925314956932</c:v>
              </c:pt>
              <c:pt idx="1">
                <c:v>-3.3776985014267829</c:v>
              </c:pt>
            </c:numLit>
          </c:xVal>
          <c:yVal>
            <c:numLit>
              <c:formatCode>General</c:formatCode>
              <c:ptCount val="2"/>
              <c:pt idx="0">
                <c:v>1.6600956180064023E-2</c:v>
              </c:pt>
              <c:pt idx="1">
                <c:v>1.6395117036816422E-2</c:v>
              </c:pt>
            </c:numLit>
          </c:yVal>
          <c:smooth val="0"/>
          <c:extLst>
            <c:ext xmlns:c16="http://schemas.microsoft.com/office/drawing/2014/chart" uri="{C3380CC4-5D6E-409C-BE32-E72D297353CC}">
              <c16:uniqueId val="{000000BC-80A6-4898-BA1B-CA5225561492}"/>
            </c:ext>
          </c:extLst>
        </c:ser>
        <c:ser>
          <c:idx val="156"/>
          <c:order val="156"/>
          <c:spPr>
            <a:ln w="3175">
              <a:solidFill>
                <a:srgbClr val="000000"/>
              </a:solidFill>
              <a:prstDash val="solid"/>
            </a:ln>
          </c:spPr>
          <c:marker>
            <c:symbol val="none"/>
          </c:marker>
          <c:dLbls>
            <c:dLbl>
              <c:idx val="0"/>
              <c:tx>
                <c:rich>
                  <a:bodyPr rot="-21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D-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-4.5121790979326546</c:v>
              </c:pt>
            </c:numLit>
          </c:xVal>
          <c:yVal>
            <c:numLit>
              <c:formatCode>General</c:formatCode>
              <c:ptCount val="1"/>
              <c:pt idx="0">
                <c:v>1.5914825702572025E-2</c:v>
              </c:pt>
            </c:numLit>
          </c:yVal>
          <c:smooth val="0"/>
          <c:extLst>
            <c:ext xmlns:c16="http://schemas.microsoft.com/office/drawing/2014/chart" uri="{C3380CC4-5D6E-409C-BE32-E72D297353CC}">
              <c16:uniqueId val="{000000BE-80A6-4898-BA1B-CA5225561492}"/>
            </c:ext>
          </c:extLst>
        </c:ser>
        <c:ser>
          <c:idx val="157"/>
          <c:order val="157"/>
          <c:spPr>
            <a:ln w="3175">
              <a:solidFill>
                <a:srgbClr val="000000"/>
              </a:solidFill>
              <a:prstDash val="solid"/>
            </a:ln>
          </c:spPr>
          <c:marker>
            <c:symbol val="none"/>
          </c:marker>
          <c:xVal>
            <c:numLit>
              <c:formatCode>General</c:formatCode>
              <c:ptCount val="2"/>
              <c:pt idx="0">
                <c:v>-2.6961334030900037</c:v>
              </c:pt>
              <c:pt idx="1">
                <c:v>-2.935573404397942</c:v>
              </c:pt>
            </c:numLit>
          </c:xVal>
          <c:yVal>
            <c:numLit>
              <c:formatCode>General</c:formatCode>
              <c:ptCount val="2"/>
              <c:pt idx="0">
                <c:v>1.6446151283033186E-2</c:v>
              </c:pt>
              <c:pt idx="1">
                <c:v>1.6340329119590057E-2</c:v>
              </c:pt>
            </c:numLit>
          </c:yVal>
          <c:smooth val="0"/>
          <c:extLst>
            <c:ext xmlns:c16="http://schemas.microsoft.com/office/drawing/2014/chart" uri="{C3380CC4-5D6E-409C-BE32-E72D297353CC}">
              <c16:uniqueId val="{000000BF-80A6-4898-BA1B-CA5225561492}"/>
            </c:ext>
          </c:extLst>
        </c:ser>
        <c:ser>
          <c:idx val="158"/>
          <c:order val="158"/>
          <c:spPr>
            <a:ln w="3175">
              <a:solidFill>
                <a:srgbClr val="000000"/>
              </a:solidFill>
              <a:prstDash val="solid"/>
            </a:ln>
          </c:spPr>
          <c:marker>
            <c:symbol val="none"/>
          </c:marker>
          <c:xVal>
            <c:numLit>
              <c:formatCode>General</c:formatCode>
              <c:ptCount val="2"/>
              <c:pt idx="0">
                <c:v>-2.4836645765102681</c:v>
              </c:pt>
              <c:pt idx="1">
                <c:v>-2.7191207873198362</c:v>
              </c:pt>
            </c:numLit>
          </c:xVal>
          <c:yVal>
            <c:numLit>
              <c:formatCode>General</c:formatCode>
              <c:ptCount val="2"/>
              <c:pt idx="0">
                <c:v>1.6285028781766103E-2</c:v>
              </c:pt>
              <c:pt idx="1">
                <c:v>1.6176185571424216E-2</c:v>
              </c:pt>
            </c:numLit>
          </c:yVal>
          <c:smooth val="0"/>
          <c:extLst>
            <c:ext xmlns:c16="http://schemas.microsoft.com/office/drawing/2014/chart" uri="{C3380CC4-5D6E-409C-BE32-E72D297353CC}">
              <c16:uniqueId val="{000000C0-80A6-4898-BA1B-CA5225561492}"/>
            </c:ext>
          </c:extLst>
        </c:ser>
        <c:ser>
          <c:idx val="159"/>
          <c:order val="159"/>
          <c:spPr>
            <a:ln w="3175">
              <a:solidFill>
                <a:srgbClr val="000000"/>
              </a:solidFill>
              <a:prstDash val="solid"/>
            </a:ln>
          </c:spPr>
          <c:marker>
            <c:symbol val="none"/>
          </c:marker>
          <c:xVal>
            <c:numLit>
              <c:formatCode>General</c:formatCode>
              <c:ptCount val="2"/>
              <c:pt idx="0">
                <c:v>-2.2523662524152037</c:v>
              </c:pt>
              <c:pt idx="1">
                <c:v>-2.4834856196479893</c:v>
              </c:pt>
            </c:numLit>
          </c:xVal>
          <c:yVal>
            <c:numLit>
              <c:formatCode>General</c:formatCode>
              <c:ptCount val="2"/>
              <c:pt idx="0">
                <c:v>1.6117509127109731E-2</c:v>
              </c:pt>
              <c:pt idx="1">
                <c:v>1.6005524923243041E-2</c:v>
              </c:pt>
            </c:numLit>
          </c:yVal>
          <c:smooth val="0"/>
          <c:extLst>
            <c:ext xmlns:c16="http://schemas.microsoft.com/office/drawing/2014/chart" uri="{C3380CC4-5D6E-409C-BE32-E72D297353CC}">
              <c16:uniqueId val="{000000C1-80A6-4898-BA1B-CA5225561492}"/>
            </c:ext>
          </c:extLst>
        </c:ser>
        <c:ser>
          <c:idx val="160"/>
          <c:order val="160"/>
          <c:spPr>
            <a:ln w="3175">
              <a:solidFill>
                <a:srgbClr val="000000"/>
              </a:solidFill>
              <a:prstDash val="solid"/>
            </a:ln>
          </c:spPr>
          <c:marker>
            <c:symbol val="none"/>
          </c:marker>
          <c:xVal>
            <c:numLit>
              <c:formatCode>General</c:formatCode>
              <c:ptCount val="2"/>
              <c:pt idx="0">
                <c:v>-2.0003586282605159</c:v>
              </c:pt>
              <c:pt idx="1">
                <c:v>-2.2267528525404012</c:v>
              </c:pt>
            </c:numLit>
          </c:xVal>
          <c:yVal>
            <c:numLit>
              <c:formatCode>General</c:formatCode>
              <c:ptCount val="2"/>
              <c:pt idx="0">
                <c:v>1.5943578118027123E-2</c:v>
              </c:pt>
              <c:pt idx="1">
                <c:v>1.5828332707740131E-2</c:v>
              </c:pt>
            </c:numLit>
          </c:yVal>
          <c:smooth val="0"/>
          <c:extLst>
            <c:ext xmlns:c16="http://schemas.microsoft.com/office/drawing/2014/chart" uri="{C3380CC4-5D6E-409C-BE32-E72D297353CC}">
              <c16:uniqueId val="{000000C2-80A6-4898-BA1B-CA5225561492}"/>
            </c:ext>
          </c:extLst>
        </c:ser>
        <c:ser>
          <c:idx val="161"/>
          <c:order val="161"/>
          <c:spPr>
            <a:ln w="3175">
              <a:solidFill>
                <a:srgbClr val="000000"/>
              </a:solidFill>
              <a:prstDash val="solid"/>
            </a:ln>
          </c:spPr>
          <c:marker>
            <c:symbol val="none"/>
          </c:marker>
          <c:xVal>
            <c:numLit>
              <c:formatCode>General</c:formatCode>
              <c:ptCount val="2"/>
              <c:pt idx="0">
                <c:v>-1.725598223952332</c:v>
              </c:pt>
              <c:pt idx="1">
                <c:v>-2.1680831573505457</c:v>
              </c:pt>
            </c:numLit>
          </c:xVal>
          <c:yVal>
            <c:numLit>
              <c:formatCode>General</c:formatCode>
              <c:ptCount val="2"/>
              <c:pt idx="0">
                <c:v>1.5763306286351399E-2</c:v>
              </c:pt>
              <c:pt idx="1">
                <c:v>1.5526055272089575E-2</c:v>
              </c:pt>
            </c:numLit>
          </c:yVal>
          <c:smooth val="0"/>
          <c:extLst>
            <c:ext xmlns:c16="http://schemas.microsoft.com/office/drawing/2014/chart" uri="{C3380CC4-5D6E-409C-BE32-E72D297353CC}">
              <c16:uniqueId val="{000000C3-80A6-4898-BA1B-CA5225561492}"/>
            </c:ext>
          </c:extLst>
        </c:ser>
        <c:ser>
          <c:idx val="162"/>
          <c:order val="162"/>
          <c:spPr>
            <a:ln w="3175">
              <a:solidFill>
                <a:srgbClr val="000000"/>
              </a:solidFill>
              <a:prstDash val="solid"/>
            </a:ln>
          </c:spPr>
          <c:marker>
            <c:symbol val="none"/>
          </c:marker>
          <c:dLbls>
            <c:dLbl>
              <c:idx val="0"/>
              <c:tx>
                <c:rich>
                  <a:bodyPr rot="-25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4-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-3.2005480019463732</c:v>
              </c:pt>
            </c:numLit>
          </c:xVal>
          <c:yVal>
            <c:numLit>
              <c:formatCode>General</c:formatCode>
              <c:ptCount val="1"/>
              <c:pt idx="0">
                <c:v>1.4972469572145323E-2</c:v>
              </c:pt>
            </c:numLit>
          </c:yVal>
          <c:smooth val="0"/>
          <c:extLst>
            <c:ext xmlns:c16="http://schemas.microsoft.com/office/drawing/2014/chart" uri="{C3380CC4-5D6E-409C-BE32-E72D297353CC}">
              <c16:uniqueId val="{000000C5-80A6-4898-BA1B-CA5225561492}"/>
            </c:ext>
          </c:extLst>
        </c:ser>
        <c:ser>
          <c:idx val="163"/>
          <c:order val="163"/>
          <c:spPr>
            <a:ln w="3175">
              <a:solidFill>
                <a:srgbClr val="000000"/>
              </a:solidFill>
              <a:prstDash val="solid"/>
            </a:ln>
          </c:spPr>
          <c:marker>
            <c:symbol val="none"/>
          </c:marker>
          <c:xVal>
            <c:numLit>
              <c:formatCode>General</c:formatCode>
              <c:ptCount val="2"/>
              <c:pt idx="0">
                <c:v>-1.5790025735140674</c:v>
              </c:pt>
              <c:pt idx="1">
                <c:v>-1.7974963717674566</c:v>
              </c:pt>
            </c:numLit>
          </c:xVal>
          <c:yVal>
            <c:numLit>
              <c:formatCode>General</c:formatCode>
              <c:ptCount val="2"/>
              <c:pt idx="0">
                <c:v>1.5670843378222384E-2</c:v>
              </c:pt>
              <c:pt idx="1">
                <c:v>1.5550484191564054E-2</c:v>
              </c:pt>
            </c:numLit>
          </c:yVal>
          <c:smooth val="0"/>
          <c:extLst>
            <c:ext xmlns:c16="http://schemas.microsoft.com/office/drawing/2014/chart" uri="{C3380CC4-5D6E-409C-BE32-E72D297353CC}">
              <c16:uniqueId val="{000000C6-80A6-4898-BA1B-CA5225561492}"/>
            </c:ext>
          </c:extLst>
        </c:ser>
        <c:ser>
          <c:idx val="164"/>
          <c:order val="164"/>
          <c:spPr>
            <a:ln w="3175">
              <a:solidFill>
                <a:srgbClr val="000000"/>
              </a:solidFill>
              <a:prstDash val="solid"/>
            </a:ln>
          </c:spPr>
          <c:marker>
            <c:symbol val="none"/>
          </c:marker>
          <c:xVal>
            <c:numLit>
              <c:formatCode>General</c:formatCode>
              <c:ptCount val="2"/>
              <c:pt idx="0">
                <c:v>-1.4258791942354936</c:v>
              </c:pt>
              <c:pt idx="1">
                <c:v>-1.8571246640193255</c:v>
              </c:pt>
            </c:numLit>
          </c:xVal>
          <c:yVal>
            <c:numLit>
              <c:formatCode>General</c:formatCode>
              <c:ptCount val="2"/>
              <c:pt idx="0">
                <c:v>1.5576872005246526E-2</c:v>
              </c:pt>
              <c:pt idx="1">
                <c:v>1.5332629705443268E-2</c:v>
              </c:pt>
            </c:numLit>
          </c:yVal>
          <c:smooth val="0"/>
          <c:extLst>
            <c:ext xmlns:c16="http://schemas.microsoft.com/office/drawing/2014/chart" uri="{C3380CC4-5D6E-409C-BE32-E72D297353CC}">
              <c16:uniqueId val="{000000C7-80A6-4898-BA1B-CA5225561492}"/>
            </c:ext>
          </c:extLst>
        </c:ser>
        <c:ser>
          <c:idx val="165"/>
          <c:order val="165"/>
          <c:spPr>
            <a:ln w="3175">
              <a:solidFill>
                <a:srgbClr val="000000"/>
              </a:solidFill>
              <a:prstDash val="solid"/>
            </a:ln>
          </c:spPr>
          <c:marker>
            <c:symbol val="none"/>
          </c:marker>
          <c:xVal>
            <c:numLit>
              <c:formatCode>General</c:formatCode>
              <c:ptCount val="2"/>
              <c:pt idx="0">
                <c:v>-1.2659283664368086</c:v>
              </c:pt>
              <c:pt idx="1">
                <c:v>-1.4785520233074994</c:v>
              </c:pt>
            </c:numLit>
          </c:xVal>
          <c:yVal>
            <c:numLit>
              <c:formatCode>General</c:formatCode>
              <c:ptCount val="2"/>
              <c:pt idx="0">
                <c:v>1.5481435758274962E-2</c:v>
              </c:pt>
              <c:pt idx="1">
                <c:v>1.5357525178742618E-2</c:v>
              </c:pt>
            </c:numLit>
          </c:yVal>
          <c:smooth val="0"/>
          <c:extLst>
            <c:ext xmlns:c16="http://schemas.microsoft.com/office/drawing/2014/chart" uri="{C3380CC4-5D6E-409C-BE32-E72D297353CC}">
              <c16:uniqueId val="{000000C8-80A6-4898-BA1B-CA5225561492}"/>
            </c:ext>
          </c:extLst>
        </c:ser>
        <c:ser>
          <c:idx val="166"/>
          <c:order val="166"/>
          <c:spPr>
            <a:ln w="3175">
              <a:solidFill>
                <a:srgbClr val="000000"/>
              </a:solidFill>
              <a:prstDash val="solid"/>
            </a:ln>
          </c:spPr>
          <c:marker>
            <c:symbol val="none"/>
          </c:marker>
          <c:xVal>
            <c:numLit>
              <c:formatCode>General</c:formatCode>
              <c:ptCount val="2"/>
              <c:pt idx="0">
                <c:v>-1.0988417955293333</c:v>
              </c:pt>
              <c:pt idx="1">
                <c:v>-1.5178233628616842</c:v>
              </c:pt>
            </c:numLit>
          </c:xVal>
          <c:yVal>
            <c:numLit>
              <c:formatCode>General</c:formatCode>
              <c:ptCount val="2"/>
              <c:pt idx="0">
                <c:v>1.5384588575441158E-2</c:v>
              </c:pt>
              <c:pt idx="1">
                <c:v>1.5133135647020202E-2</c:v>
              </c:pt>
            </c:numLit>
          </c:yVal>
          <c:smooth val="0"/>
          <c:extLst>
            <c:ext xmlns:c16="http://schemas.microsoft.com/office/drawing/2014/chart" uri="{C3380CC4-5D6E-409C-BE32-E72D297353CC}">
              <c16:uniqueId val="{000000C9-80A6-4898-BA1B-CA5225561492}"/>
            </c:ext>
          </c:extLst>
        </c:ser>
        <c:ser>
          <c:idx val="167"/>
          <c:order val="167"/>
          <c:spPr>
            <a:ln w="3175">
              <a:solidFill>
                <a:srgbClr val="000000"/>
              </a:solidFill>
              <a:prstDash val="solid"/>
            </a:ln>
          </c:spPr>
          <c:marker>
            <c:symbol val="none"/>
          </c:marker>
          <c:xVal>
            <c:numLit>
              <c:formatCode>General</c:formatCode>
              <c:ptCount val="2"/>
              <c:pt idx="0">
                <c:v>-0.92430346417680553</c:v>
              </c:pt>
              <c:pt idx="1">
                <c:v>-1.1305216541301211</c:v>
              </c:pt>
            </c:numLit>
          </c:xVal>
          <c:yVal>
            <c:numLit>
              <c:formatCode>General</c:formatCode>
              <c:ptCount val="2"/>
              <c:pt idx="0">
                <c:v>1.5286395805685589E-2</c:v>
              </c:pt>
              <c:pt idx="1">
                <c:v>1.5158828227042193E-2</c:v>
              </c:pt>
            </c:numLit>
          </c:yVal>
          <c:smooth val="0"/>
          <c:extLst>
            <c:ext xmlns:c16="http://schemas.microsoft.com/office/drawing/2014/chart" uri="{C3380CC4-5D6E-409C-BE32-E72D297353CC}">
              <c16:uniqueId val="{000000CA-80A6-4898-BA1B-CA5225561492}"/>
            </c:ext>
          </c:extLst>
        </c:ser>
        <c:ser>
          <c:idx val="168"/>
          <c:order val="168"/>
          <c:spPr>
            <a:ln w="3175">
              <a:solidFill>
                <a:srgbClr val="000000"/>
              </a:solidFill>
              <a:prstDash val="solid"/>
            </a:ln>
          </c:spPr>
          <c:marker>
            <c:symbol val="none"/>
          </c:marker>
          <c:xVal>
            <c:numLit>
              <c:formatCode>General</c:formatCode>
              <c:ptCount val="2"/>
              <c:pt idx="0">
                <c:v>-0.74199071679472972</c:v>
              </c:pt>
              <c:pt idx="1">
                <c:v>-1.147590368674533</c:v>
              </c:pt>
            </c:numLit>
          </c:xVal>
          <c:yVal>
            <c:numLit>
              <c:formatCode>General</c:formatCode>
              <c:ptCount val="2"/>
              <c:pt idx="0">
                <c:v>1.5186935326412536E-2</c:v>
              </c:pt>
              <c:pt idx="1">
                <c:v>1.4928070401153005E-2</c:v>
              </c:pt>
            </c:numLit>
          </c:yVal>
          <c:smooth val="0"/>
          <c:extLst>
            <c:ext xmlns:c16="http://schemas.microsoft.com/office/drawing/2014/chart" uri="{C3380CC4-5D6E-409C-BE32-E72D297353CC}">
              <c16:uniqueId val="{000000CB-80A6-4898-BA1B-CA5225561492}"/>
            </c:ext>
          </c:extLst>
        </c:ser>
        <c:ser>
          <c:idx val="169"/>
          <c:order val="169"/>
          <c:spPr>
            <a:ln w="3175">
              <a:solidFill>
                <a:srgbClr val="000000"/>
              </a:solidFill>
              <a:prstDash val="solid"/>
            </a:ln>
          </c:spPr>
          <c:marker>
            <c:symbol val="none"/>
          </c:marker>
          <c:dLbls>
            <c:dLbl>
              <c:idx val="0"/>
              <c:tx>
                <c:rich>
                  <a:bodyPr rot="-28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C-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-2.0939895563940709</c:v>
              </c:pt>
            </c:numLit>
          </c:xVal>
          <c:yVal>
            <c:numLit>
              <c:formatCode>General</c:formatCode>
              <c:ptCount val="1"/>
              <c:pt idx="0">
                <c:v>1.4324052242214103E-2</c:v>
              </c:pt>
            </c:numLit>
          </c:yVal>
          <c:smooth val="0"/>
          <c:extLst>
            <c:ext xmlns:c16="http://schemas.microsoft.com/office/drawing/2014/chart" uri="{C3380CC4-5D6E-409C-BE32-E72D297353CC}">
              <c16:uniqueId val="{000000CD-80A6-4898-BA1B-CA5225561492}"/>
            </c:ext>
          </c:extLst>
        </c:ser>
        <c:ser>
          <c:idx val="170"/>
          <c:order val="170"/>
          <c:spPr>
            <a:ln w="3175">
              <a:solidFill>
                <a:srgbClr val="000000"/>
              </a:solidFill>
              <a:prstDash val="solid"/>
            </a:ln>
          </c:spPr>
          <c:marker>
            <c:symbol val="none"/>
          </c:marker>
          <c:xVal>
            <c:numLit>
              <c:formatCode>General</c:formatCode>
              <c:ptCount val="2"/>
              <c:pt idx="0">
                <c:v>-0.55157560683822027</c:v>
              </c:pt>
              <c:pt idx="1">
                <c:v>-0.75080514946643739</c:v>
              </c:pt>
            </c:numLit>
          </c:xVal>
          <c:yVal>
            <c:numLit>
              <c:formatCode>General</c:formatCode>
              <c:ptCount val="2"/>
              <c:pt idx="0">
                <c:v>1.5086298707621836E-2</c:v>
              </c:pt>
              <c:pt idx="1">
                <c:v>1.4954979308389744E-2</c:v>
              </c:pt>
            </c:numLit>
          </c:yVal>
          <c:smooth val="0"/>
          <c:extLst>
            <c:ext xmlns:c16="http://schemas.microsoft.com/office/drawing/2014/chart" uri="{C3380CC4-5D6E-409C-BE32-E72D297353CC}">
              <c16:uniqueId val="{000000CE-80A6-4898-BA1B-CA5225561492}"/>
            </c:ext>
          </c:extLst>
        </c:ser>
        <c:ser>
          <c:idx val="171"/>
          <c:order val="171"/>
          <c:spPr>
            <a:ln w="3175">
              <a:solidFill>
                <a:srgbClr val="000000"/>
              </a:solidFill>
              <a:prstDash val="solid"/>
            </a:ln>
          </c:spPr>
          <c:marker>
            <c:symbol val="none"/>
          </c:marker>
          <c:xVal>
            <c:numLit>
              <c:formatCode>General</c:formatCode>
              <c:ptCount val="2"/>
              <c:pt idx="0">
                <c:v>-0.35272653863275494</c:v>
              </c:pt>
              <c:pt idx="1">
                <c:v>-0.74372878383148422</c:v>
              </c:pt>
            </c:numLit>
          </c:xVal>
          <c:yVal>
            <c:numLit>
              <c:formatCode>General</c:formatCode>
              <c:ptCount val="2"/>
              <c:pt idx="0">
                <c:v>1.4984592411894704E-2</c:v>
              </c:pt>
              <c:pt idx="1">
                <c:v>1.4718139627340756E-2</c:v>
              </c:pt>
            </c:numLit>
          </c:yVal>
          <c:smooth val="0"/>
          <c:extLst>
            <c:ext xmlns:c16="http://schemas.microsoft.com/office/drawing/2014/chart" uri="{C3380CC4-5D6E-409C-BE32-E72D297353CC}">
              <c16:uniqueId val="{000000CF-80A6-4898-BA1B-CA5225561492}"/>
            </c:ext>
          </c:extLst>
        </c:ser>
        <c:ser>
          <c:idx val="172"/>
          <c:order val="172"/>
          <c:spPr>
            <a:ln w="3175">
              <a:solidFill>
                <a:srgbClr val="000000"/>
              </a:solidFill>
              <a:prstDash val="solid"/>
            </a:ln>
          </c:spPr>
          <c:marker>
            <c:symbol val="none"/>
          </c:marker>
          <c:xVal>
            <c:numLit>
              <c:formatCode>General</c:formatCode>
              <c:ptCount val="2"/>
              <c:pt idx="0">
                <c:v>-0.1451102361754284</c:v>
              </c:pt>
              <c:pt idx="1">
                <c:v>-0.33671855310371812</c:v>
              </c:pt>
            </c:numLit>
          </c:xVal>
          <c:yVal>
            <c:numLit>
              <c:formatCode>General</c:formatCode>
              <c:ptCount val="2"/>
              <c:pt idx="0">
                <c:v>1.4881939016159636E-2</c:v>
              </c:pt>
              <c:pt idx="1">
                <c:v>1.4746787872712629E-2</c:v>
              </c:pt>
            </c:numLit>
          </c:yVal>
          <c:smooth val="0"/>
          <c:extLst>
            <c:ext xmlns:c16="http://schemas.microsoft.com/office/drawing/2014/chart" uri="{C3380CC4-5D6E-409C-BE32-E72D297353CC}">
              <c16:uniqueId val="{000000D0-80A6-4898-BA1B-CA5225561492}"/>
            </c:ext>
          </c:extLst>
        </c:ser>
        <c:ser>
          <c:idx val="173"/>
          <c:order val="173"/>
          <c:spPr>
            <a:ln w="3175">
              <a:solidFill>
                <a:srgbClr val="000000"/>
              </a:solidFill>
              <a:prstDash val="solid"/>
            </a:ln>
          </c:spPr>
          <c:marker>
            <c:symbol val="none"/>
          </c:marker>
          <c:xVal>
            <c:numLit>
              <c:formatCode>General</c:formatCode>
              <c:ptCount val="2"/>
              <c:pt idx="0">
                <c:v>7.1605928852115142E-2</c:v>
              </c:pt>
              <c:pt idx="1">
                <c:v>-0.30348384881593143</c:v>
              </c:pt>
            </c:numLit>
          </c:xVal>
          <c:yVal>
            <c:numLit>
              <c:formatCode>General</c:formatCode>
              <c:ptCount val="2"/>
              <c:pt idx="0">
                <c:v>1.4778478437209518E-2</c:v>
              </c:pt>
              <c:pt idx="1">
                <c:v>1.4504296378604875E-2</c:v>
              </c:pt>
            </c:numLit>
          </c:yVal>
          <c:smooth val="0"/>
          <c:extLst>
            <c:ext xmlns:c16="http://schemas.microsoft.com/office/drawing/2014/chart" uri="{C3380CC4-5D6E-409C-BE32-E72D297353CC}">
              <c16:uniqueId val="{000000D1-80A6-4898-BA1B-CA5225561492}"/>
            </c:ext>
          </c:extLst>
        </c:ser>
        <c:ser>
          <c:idx val="174"/>
          <c:order val="174"/>
          <c:spPr>
            <a:ln w="3175">
              <a:solidFill>
                <a:srgbClr val="000000"/>
              </a:solidFill>
              <a:prstDash val="solid"/>
            </a:ln>
          </c:spPr>
          <c:marker>
            <c:symbol val="none"/>
          </c:marker>
          <c:dLbls>
            <c:dLbl>
              <c:idx val="0"/>
              <c:tx>
                <c:rich>
                  <a:bodyPr rot="-30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2-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-1.1786933300413704</c:v>
              </c:pt>
            </c:numLit>
          </c:xVal>
          <c:yVal>
            <c:numLit>
              <c:formatCode>General</c:formatCode>
              <c:ptCount val="1"/>
              <c:pt idx="0">
                <c:v>1.3864538241860708E-2</c:v>
              </c:pt>
            </c:numLit>
          </c:yVal>
          <c:smooth val="0"/>
          <c:extLst>
            <c:ext xmlns:c16="http://schemas.microsoft.com/office/drawing/2014/chart" uri="{C3380CC4-5D6E-409C-BE32-E72D297353CC}">
              <c16:uniqueId val="{000000D3-80A6-4898-BA1B-CA5225561492}"/>
            </c:ext>
          </c:extLst>
        </c:ser>
        <c:ser>
          <c:idx val="175"/>
          <c:order val="175"/>
          <c:spPr>
            <a:ln w="3175">
              <a:solidFill>
                <a:srgbClr val="000000"/>
              </a:solidFill>
              <a:prstDash val="solid"/>
            </a:ln>
          </c:spPr>
          <c:marker>
            <c:symbol val="none"/>
          </c:marker>
          <c:xVal>
            <c:numLit>
              <c:formatCode>General</c:formatCode>
              <c:ptCount val="2"/>
              <c:pt idx="0">
                <c:v>0.29775121892516943</c:v>
              </c:pt>
              <c:pt idx="1">
                <c:v>0.11444655428001592</c:v>
              </c:pt>
            </c:numLit>
          </c:xVal>
          <c:yVal>
            <c:numLit>
              <c:formatCode>General</c:formatCode>
              <c:ptCount val="2"/>
              <c:pt idx="0">
                <c:v>1.4674369138495832E-2</c:v>
              </c:pt>
              <c:pt idx="1">
                <c:v>1.4535326059842629E-2</c:v>
              </c:pt>
            </c:numLit>
          </c:yVal>
          <c:smooth val="0"/>
          <c:extLst>
            <c:ext xmlns:c16="http://schemas.microsoft.com/office/drawing/2014/chart" uri="{C3380CC4-5D6E-409C-BE32-E72D297353CC}">
              <c16:uniqueId val="{000000D4-80A6-4898-BA1B-CA5225561492}"/>
            </c:ext>
          </c:extLst>
        </c:ser>
        <c:ser>
          <c:idx val="176"/>
          <c:order val="176"/>
          <c:spPr>
            <a:ln w="3175">
              <a:solidFill>
                <a:srgbClr val="000000"/>
              </a:solidFill>
              <a:prstDash val="solid"/>
            </a:ln>
          </c:spPr>
          <c:marker>
            <c:symbol val="none"/>
          </c:marker>
          <c:xVal>
            <c:numLit>
              <c:formatCode>General</c:formatCode>
              <c:ptCount val="2"/>
              <c:pt idx="0">
                <c:v>0.53364839416415855</c:v>
              </c:pt>
              <c:pt idx="1">
                <c:v>0.17588520894531365</c:v>
              </c:pt>
            </c:numLit>
          </c:xVal>
          <c:yVal>
            <c:numLit>
              <c:formatCode>General</c:formatCode>
              <c:ptCount val="2"/>
              <c:pt idx="0">
                <c:v>1.4569789290830202E-2</c:v>
              </c:pt>
              <c:pt idx="1">
                <c:v>1.4287781389236334E-2</c:v>
              </c:pt>
            </c:numLit>
          </c:yVal>
          <c:smooth val="0"/>
          <c:extLst>
            <c:ext xmlns:c16="http://schemas.microsoft.com/office/drawing/2014/chart" uri="{C3380CC4-5D6E-409C-BE32-E72D297353CC}">
              <c16:uniqueId val="{000000D5-80A6-4898-BA1B-CA5225561492}"/>
            </c:ext>
          </c:extLst>
        </c:ser>
        <c:ser>
          <c:idx val="177"/>
          <c:order val="177"/>
          <c:spPr>
            <a:ln w="3175">
              <a:solidFill>
                <a:srgbClr val="000000"/>
              </a:solidFill>
              <a:prstDash val="solid"/>
            </a:ln>
          </c:spPr>
          <c:marker>
            <c:symbol val="none"/>
          </c:marker>
          <c:xVal>
            <c:numLit>
              <c:formatCode>General</c:formatCode>
              <c:ptCount val="2"/>
              <c:pt idx="0">
                <c:v>0.77961013372640231</c:v>
              </c:pt>
              <c:pt idx="1">
                <c:v>0.60534032373377189</c:v>
              </c:pt>
            </c:numLit>
          </c:xVal>
          <c:yVal>
            <c:numLit>
              <c:formatCode>General</c:formatCode>
              <c:ptCount val="2"/>
              <c:pt idx="0">
                <c:v>1.4464937854358663E-2</c:v>
              </c:pt>
              <c:pt idx="1">
                <c:v>1.4321967939127888E-2</c:v>
              </c:pt>
            </c:numLit>
          </c:yVal>
          <c:smooth val="0"/>
          <c:extLst>
            <c:ext xmlns:c16="http://schemas.microsoft.com/office/drawing/2014/chart" uri="{C3380CC4-5D6E-409C-BE32-E72D297353CC}">
              <c16:uniqueId val="{000000D6-80A6-4898-BA1B-CA5225561492}"/>
            </c:ext>
          </c:extLst>
        </c:ser>
        <c:ser>
          <c:idx val="178"/>
          <c:order val="178"/>
          <c:spPr>
            <a:ln w="3175">
              <a:solidFill>
                <a:srgbClr val="000000"/>
              </a:solidFill>
              <a:prstDash val="solid"/>
            </a:ln>
          </c:spPr>
          <c:marker>
            <c:symbol val="none"/>
          </c:marker>
          <c:xVal>
            <c:numLit>
              <c:formatCode>General</c:formatCode>
              <c:ptCount val="2"/>
              <c:pt idx="0">
                <c:v>1.0359349978977921</c:v>
              </c:pt>
              <c:pt idx="1">
                <c:v>0.6970075603189585</c:v>
              </c:pt>
            </c:numLit>
          </c:xVal>
          <c:yVal>
            <c:numLit>
              <c:formatCode>General</c:formatCode>
              <c:ptCount val="2"/>
              <c:pt idx="0">
                <c:v>1.4360035543668952E-2</c:v>
              </c:pt>
              <c:pt idx="1">
                <c:v>1.4070161876556537E-2</c:v>
              </c:pt>
            </c:numLit>
          </c:yVal>
          <c:smooth val="0"/>
          <c:extLst>
            <c:ext xmlns:c16="http://schemas.microsoft.com/office/drawing/2014/chart" uri="{C3380CC4-5D6E-409C-BE32-E72D297353CC}">
              <c16:uniqueId val="{000000D7-80A6-4898-BA1B-CA5225561492}"/>
            </c:ext>
          </c:extLst>
        </c:ser>
        <c:ser>
          <c:idx val="179"/>
          <c:order val="179"/>
          <c:spPr>
            <a:ln w="3175">
              <a:solidFill>
                <a:srgbClr val="000000"/>
              </a:solidFill>
              <a:prstDash val="solid"/>
            </a:ln>
          </c:spPr>
          <c:marker>
            <c:symbol val="none"/>
          </c:marker>
          <c:dLbls>
            <c:dLbl>
              <c:idx val="0"/>
              <c:tx>
                <c:rich>
                  <a:bodyPr rot="-33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8-80A6-4898-BA1B-CA52255614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-9.3823127364983883E-2</c:v>
              </c:pt>
            </c:numLit>
          </c:xVal>
          <c:yVal>
            <c:numLit>
              <c:formatCode>General</c:formatCode>
              <c:ptCount val="1"/>
              <c:pt idx="0">
                <c:v>1.3393789986627571E-2</c:v>
              </c:pt>
            </c:numLit>
          </c:yVal>
          <c:smooth val="0"/>
          <c:extLst>
            <c:ext xmlns:c16="http://schemas.microsoft.com/office/drawing/2014/chart" uri="{C3380CC4-5D6E-409C-BE32-E72D297353CC}">
              <c16:uniqueId val="{000000D9-80A6-4898-BA1B-CA5225561492}"/>
            </c:ext>
          </c:extLst>
        </c:ser>
        <c:ser>
          <c:idx val="180"/>
          <c:order val="180"/>
          <c:spPr>
            <a:ln w="3175">
              <a:solidFill>
                <a:srgbClr val="000000"/>
              </a:solidFill>
              <a:prstDash val="solid"/>
            </a:ln>
          </c:spPr>
          <c:marker>
            <c:symbol val="none"/>
          </c:marker>
          <c:xVal>
            <c:numLit>
              <c:formatCode>General</c:formatCode>
              <c:ptCount val="141"/>
              <c:pt idx="0">
                <c:v>19.112065002102213</c:v>
              </c:pt>
              <c:pt idx="1">
                <c:v>18.8450970773753</c:v>
              </c:pt>
              <c:pt idx="2">
                <c:v>18.56722975012455</c:v>
              </c:pt>
              <c:pt idx="3">
                <c:v>18.278235688191689</c:v>
              </c:pt>
              <c:pt idx="4">
                <c:v>17.977922395619551</c:v>
              </c:pt>
              <c:pt idx="5">
                <c:v>17.66613839326984</c:v>
              </c:pt>
              <c:pt idx="6">
                <c:v>17.342779673832094</c:v>
              </c:pt>
              <c:pt idx="7">
                <c:v>17.007796325582085</c:v>
              </c:pt>
              <c:pt idx="8">
                <c:v>16.661199191953962</c:v>
              </c:pt>
              <c:pt idx="9">
                <c:v>16.303066406374967</c:v>
              </c:pt>
              <c:pt idx="10">
                <c:v>15.933549615402917</c:v>
              </c:pt>
              <c:pt idx="11">
                <c:v>15.552879679875094</c:v>
              </c:pt>
              <c:pt idx="12">
                <c:v>15.161371625668401</c:v>
              </c:pt>
              <c:pt idx="13">
                <c:v>14.759428605087592</c:v>
              </c:pt>
              <c:pt idx="14">
                <c:v>14.347544629130377</c:v>
              </c:pt>
              <c:pt idx="15">
                <c:v>13.926305841977111</c:v>
              </c:pt>
              <c:pt idx="16">
                <c:v>13.496390133576961</c:v>
              </c:pt>
              <c:pt idx="17">
                <c:v>13.058564924947557</c:v>
              </c:pt>
              <c:pt idx="18">
                <c:v>12.613683013559941</c:v>
              </c:pt>
              <c:pt idx="19">
                <c:v>12.162676431545373</c:v>
              </c:pt>
              <c:pt idx="20">
                <c:v>11.706548344769773</c:v>
              </c:pt>
              <c:pt idx="21">
                <c:v>11.246363102205093</c:v>
              </c:pt>
              <c:pt idx="22">
                <c:v>10.783234627624566</c:v>
              </c:pt>
              <c:pt idx="23">
                <c:v>10.318313423979751</c:v>
              </c:pt>
              <c:pt idx="24">
                <c:v>9.852772529268405</c:v>
              </c:pt>
              <c:pt idx="25">
                <c:v>9.3877928160861757</c:v>
              </c:pt>
              <c:pt idx="26">
                <c:v>8.9245480611645895</c:v>
              </c:pt>
              <c:pt idx="27">
                <c:v>8.4641902232748549</c:v>
              </c:pt>
              <c:pt idx="28">
                <c:v>8.0078353569338034</c:v>
              </c:pt>
              <c:pt idx="29">
                <c:v>7.5565505562805031</c:v>
              </c:pt>
              <c:pt idx="30">
                <c:v>7.1113422709748857</c:v>
              </c:pt>
              <c:pt idx="31">
                <c:v>6.6731462681499014</c:v>
              </c:pt>
              <c:pt idx="32">
                <c:v>6.242819436476525</c:v>
              </c:pt>
              <c:pt idx="33">
                <c:v>5.8211335458825326</c:v>
              </c:pt>
              <c:pt idx="34">
                <c:v>5.4087709949009444</c:v>
              </c:pt>
              <c:pt idx="35">
                <c:v>5.0063225019128463</c:v>
              </c:pt>
              <c:pt idx="36">
                <c:v>4.6142866306182313</c:v>
              </c:pt>
              <c:pt idx="37">
                <c:v>4.2330709866447673</c:v>
              </c:pt>
              <c:pt idx="38">
                <c:v>3.8629948827503302</c:v>
              </c:pt>
              <c:pt idx="39">
                <c:v>3.5042932448568997</c:v>
              </c:pt>
              <c:pt idx="40">
                <c:v>3.1571215194201248</c:v>
              </c:pt>
              <c:pt idx="41">
                <c:v>2.8215613428637392</c:v>
              </c:pt>
              <c:pt idx="42">
                <c:v>2.4976267439569462</c:v>
              </c:pt>
              <c:pt idx="43">
                <c:v>2.1852706678037492</c:v>
              </c:pt>
              <c:pt idx="44">
                <c:v>1.8843916332377137</c:v>
              </c:pt>
              <c:pt idx="45">
                <c:v>1.5948403617187026</c:v>
              </c:pt>
              <c:pt idx="46">
                <c:v>1.3164262434224625</c:v>
              </c:pt>
              <c:pt idx="47">
                <c:v>1.0489235335545537</c:v>
              </c:pt>
              <c:pt idx="48">
                <c:v>0.79207719782194097</c:v>
              </c:pt>
              <c:pt idx="49">
                <c:v>0.54560834962721927</c:v>
              </c:pt>
              <c:pt idx="50">
                <c:v>0.30921924239530263</c:v>
              </c:pt>
              <c:pt idx="51">
                <c:v>8.2597798252372456E-2</c:v>
              </c:pt>
              <c:pt idx="52">
                <c:v>-0.13457833098479099</c:v>
              </c:pt>
              <c:pt idx="53">
                <c:v>-0.34263816276119208</c:v>
              </c:pt>
              <c:pt idx="54">
                <c:v>-0.54191422585842908</c:v>
              </c:pt>
              <c:pt idx="55">
                <c:v>-0.73273982212147359</c:v>
              </c:pt>
              <c:pt idx="56">
                <c:v>-0.91544667980728711</c:v>
              </c:pt>
              <c:pt idx="57">
                <c:v>-1.2578116379333117</c:v>
              </c:pt>
              <c:pt idx="58">
                <c:v>-1.5715639473654406</c:v>
              </c:pt>
              <c:pt idx="59">
                <c:v>-1.8591375326045441</c:v>
              </c:pt>
              <c:pt idx="60">
                <c:v>-2.1228206156839224</c:v>
              </c:pt>
              <c:pt idx="61">
                <c:v>-2.3647424461434348</c:v>
              </c:pt>
              <c:pt idx="62">
                <c:v>-2.586868537679468</c:v>
              </c:pt>
              <c:pt idx="63">
                <c:v>-2.7910019643405413</c:v>
              </c:pt>
              <c:pt idx="64">
                <c:v>-2.9787887880489183</c:v>
              </c:pt>
              <c:pt idx="65">
                <c:v>-3.1517261413907764</c:v>
              </c:pt>
              <c:pt idx="66">
                <c:v>-3.3111718654925895</c:v>
              </c:pt>
              <c:pt idx="67">
                <c:v>-3.4583549044857431</c:v>
              </c:pt>
              <c:pt idx="68">
                <c:v>-3.5943858935362023</c:v>
              </c:pt>
              <c:pt idx="69">
                <c:v>-3.7202675569347807</c:v>
              </c:pt>
              <c:pt idx="70">
                <c:v>-3.8369046667399491</c:v>
              </c:pt>
              <c:pt idx="71">
                <c:v>-3.9451134104728283</c:v>
              </c:pt>
              <c:pt idx="72">
                <c:v>-4.0456300865603616</c:v>
              </c:pt>
              <c:pt idx="73">
                <c:v>-4.1391190953323029</c:v>
              </c:pt>
              <c:pt idx="74">
                <c:v>-4.2261802267681094</c:v>
              </c:pt>
              <c:pt idx="75">
                <c:v>-4.3073552680459173</c:v>
              </c:pt>
              <c:pt idx="76">
                <c:v>-4.3831339674729453</c:v>
              </c:pt>
              <c:pt idx="77">
                <c:v>-4.5202327749524223</c:v>
              </c:pt>
              <c:pt idx="78">
                <c:v>-4.6405443022471573</c:v>
              </c:pt>
              <c:pt idx="79">
                <c:v>-4.7465937304932346</c:v>
              </c:pt>
              <c:pt idx="80">
                <c:v>-4.840468663784268</c:v>
              </c:pt>
              <c:pt idx="81">
                <c:v>-4.9239027256336172</c:v>
              </c:pt>
              <c:pt idx="82">
                <c:v>-5.0957344984412281</c:v>
              </c:pt>
              <c:pt idx="83">
                <c:v>-5.2277187467242001</c:v>
              </c:pt>
              <c:pt idx="84">
                <c:v>-5.4133953400869554</c:v>
              </c:pt>
              <c:pt idx="85">
                <c:v>-5.5344826731761501</c:v>
              </c:pt>
              <c:pt idx="86">
                <c:v>-5.5796887608149337</c:v>
              </c:pt>
              <c:pt idx="87">
                <c:v>-5.7798158159794664</c:v>
              </c:pt>
              <c:pt idx="88">
                <c:v>-5.8504939393902315</c:v>
              </c:pt>
              <c:pt idx="89">
                <c:v>-5.8800528869223712</c:v>
              </c:pt>
              <c:pt idx="90">
                <c:v>-5.9038542059388899</c:v>
              </c:pt>
              <c:pt idx="91">
                <c:v>-5.9130153799827969</c:v>
              </c:pt>
              <c:pt idx="92">
                <c:v>-5.9260000000000002</c:v>
              </c:pt>
              <c:pt idx="93">
                <c:v>-5.9091195993230432</c:v>
              </c:pt>
              <c:pt idx="94">
                <c:v>-5.894578040400928</c:v>
              </c:pt>
              <c:pt idx="95">
                <c:v>-5.848343237322787</c:v>
              </c:pt>
              <c:pt idx="96">
                <c:v>-5.7739939891054988</c:v>
              </c:pt>
              <c:pt idx="97">
                <c:v>-5.7465637260034192</c:v>
              </c:pt>
              <c:pt idx="98">
                <c:v>-5.711038721800092</c:v>
              </c:pt>
              <c:pt idx="99">
                <c:v>-5.6639220080512498</c:v>
              </c:pt>
              <c:pt idx="100">
                <c:v>-5.5996266632109233</c:v>
              </c:pt>
              <c:pt idx="101">
                <c:v>-5.5088021423748152</c:v>
              </c:pt>
              <c:pt idx="102">
                <c:v>-5.3748980291257897</c:v>
              </c:pt>
              <c:pt idx="103">
                <c:v>-5.2829443900298614</c:v>
              </c:pt>
              <c:pt idx="104">
                <c:v>-5.166553543121811</c:v>
              </c:pt>
              <c:pt idx="105">
                <c:v>-5.0165414533142396</c:v>
              </c:pt>
              <c:pt idx="106">
                <c:v>-4.8191692468353651</c:v>
              </c:pt>
              <c:pt idx="107">
                <c:v>-4.7225706908273839</c:v>
              </c:pt>
              <c:pt idx="108">
                <c:v>-4.6133365013179315</c:v>
              </c:pt>
              <c:pt idx="109">
                <c:v>-4.489283395952409</c:v>
              </c:pt>
              <c:pt idx="110">
                <c:v>-4.3477677004724065</c:v>
              </c:pt>
              <c:pt idx="111">
                <c:v>-4.1855746659087778</c:v>
              </c:pt>
              <c:pt idx="112">
                <c:v>-4.0955299737746884</c:v>
              </c:pt>
              <c:pt idx="113">
                <c:v>-3.998780006248202</c:v>
              </c:pt>
              <c:pt idx="114">
                <c:v>-3.8946951353973525</c:v>
              </c:pt>
              <c:pt idx="115">
                <c:v>-3.7825777464306558</c:v>
              </c:pt>
              <c:pt idx="116">
                <c:v>-3.6616546175275477</c:v>
              </c:pt>
              <c:pt idx="117">
                <c:v>-3.5310685925031429</c:v>
              </c:pt>
              <c:pt idx="118">
                <c:v>-3.3898695593086874</c:v>
              </c:pt>
              <c:pt idx="119">
                <c:v>-3.2370047876397781</c:v>
              </c:pt>
              <c:pt idx="120">
                <c:v>-3.0713087373053121</c:v>
              </c:pt>
              <c:pt idx="121">
                <c:v>-2.8914925314956932</c:v>
              </c:pt>
              <c:pt idx="122">
                <c:v>-2.6961334030900037</c:v>
              </c:pt>
              <c:pt idx="123">
                <c:v>-2.4836645765102681</c:v>
              </c:pt>
              <c:pt idx="124">
                <c:v>-2.2523662524152037</c:v>
              </c:pt>
              <c:pt idx="125">
                <c:v>-2.0003586282605159</c:v>
              </c:pt>
              <c:pt idx="126">
                <c:v>-1.725598223952332</c:v>
              </c:pt>
              <c:pt idx="127">
                <c:v>-1.5790025735140674</c:v>
              </c:pt>
              <c:pt idx="128">
                <c:v>-1.4258791942354936</c:v>
              </c:pt>
              <c:pt idx="129">
                <c:v>-1.2659283664368086</c:v>
              </c:pt>
              <c:pt idx="130">
                <c:v>-1.0988417955293333</c:v>
              </c:pt>
              <c:pt idx="131">
                <c:v>-0.92430346417680553</c:v>
              </c:pt>
              <c:pt idx="132">
                <c:v>-0.74199071679472972</c:v>
              </c:pt>
              <c:pt idx="133">
                <c:v>-0.55157560683822027</c:v>
              </c:pt>
              <c:pt idx="134">
                <c:v>-0.35272653863275494</c:v>
              </c:pt>
              <c:pt idx="135">
                <c:v>-0.1451102361754284</c:v>
              </c:pt>
              <c:pt idx="136">
                <c:v>7.1605928852115142E-2</c:v>
              </c:pt>
              <c:pt idx="137">
                <c:v>0.29775121892516943</c:v>
              </c:pt>
              <c:pt idx="138">
                <c:v>0.53364839416415855</c:v>
              </c:pt>
              <c:pt idx="139">
                <c:v>0.77961013372640231</c:v>
              </c:pt>
              <c:pt idx="140">
                <c:v>1.0359349978977921</c:v>
              </c:pt>
            </c:numLit>
          </c:xVal>
          <c:yVal>
            <c:numLit>
              <c:formatCode>General</c:formatCode>
              <c:ptCount val="141"/>
              <c:pt idx="0">
                <c:v>2.9819964456331043E-2</c:v>
              </c:pt>
              <c:pt idx="1">
                <c:v>2.9924674367665466E-2</c:v>
              </c:pt>
              <c:pt idx="2">
                <c:v>3.0028925452153143E-2</c:v>
              </c:pt>
              <c:pt idx="3">
                <c:v>3.0132427796929415E-2</c:v>
              </c:pt>
              <c:pt idx="4">
                <c:v>3.023486799351929E-2</c:v>
              </c:pt>
              <c:pt idx="5">
                <c:v>3.033590950901436E-2</c:v>
              </c:pt>
              <c:pt idx="6">
                <c:v>3.0435193499355299E-2</c:v>
              </c:pt>
              <c:pt idx="7">
                <c:v>3.0532340123372845E-2</c:v>
              </c:pt>
              <c:pt idx="8">
                <c:v>3.0626950411091525E-2</c:v>
              </c:pt>
              <c:pt idx="9">
                <c:v>3.0718608731016221E-2</c:v>
              </c:pt>
              <c:pt idx="10">
                <c:v>3.0806885888287203E-2</c:v>
              </c:pt>
              <c:pt idx="11">
                <c:v>3.0891342868475898E-2</c:v>
              </c:pt>
              <c:pt idx="12">
                <c:v>3.0971535220433173E-2</c:v>
              </c:pt>
              <c:pt idx="13">
                <c:v>3.10470180463631E-2</c:v>
              </c:pt>
              <c:pt idx="14">
                <c:v>3.1117351538940789E-2</c:v>
              </c:pt>
              <c:pt idx="15">
                <c:v>3.1182106975011677E-2</c:v>
              </c:pt>
              <c:pt idx="16">
                <c:v>3.1240873044807643E-2</c:v>
              </c:pt>
              <c:pt idx="17">
                <c:v>3.1293262366654133E-2</c:v>
              </c:pt>
              <c:pt idx="18">
                <c:v>3.1338918012023258E-2</c:v>
              </c:pt>
              <c:pt idx="19">
                <c:v>3.1377519846776204E-2</c:v>
              </c:pt>
              <c:pt idx="20">
                <c:v>3.1408790483649543E-2</c:v>
              </c:pt>
              <c:pt idx="21">
                <c:v>3.1432500640195878E-2</c:v>
              </c:pt>
              <c:pt idx="22">
                <c:v>3.1448473706588605E-2</c:v>
              </c:pt>
              <c:pt idx="23">
                <c:v>3.145658934922383E-2</c:v>
              </c:pt>
              <c:pt idx="24">
                <c:v>3.1456786008248493E-2</c:v>
              </c:pt>
              <c:pt idx="25">
                <c:v>3.1449062188412508E-2</c:v>
              </c:pt>
              <c:pt idx="26">
                <c:v>3.1433476490533449E-2</c:v>
              </c:pt>
              <c:pt idx="27">
                <c:v>3.1410146382283011E-2</c:v>
              </c:pt>
              <c:pt idx="28">
                <c:v>3.137924575851176E-2</c:v>
              </c:pt>
              <c:pt idx="29">
                <c:v>3.1341001389471851E-2</c:v>
              </c:pt>
              <c:pt idx="30">
                <c:v>3.1295688396958433E-2</c:v>
              </c:pt>
              <c:pt idx="31">
                <c:v>3.1243624931081966E-2</c:v>
              </c:pt>
              <c:pt idx="32">
                <c:v>3.1185166242459445E-2</c:v>
              </c:pt>
              <c:pt idx="33">
                <c:v>3.1120698355374388E-2</c:v>
              </c:pt>
              <c:pt idx="34">
                <c:v>3.1050631547139242E-2</c:v>
              </c:pt>
              <c:pt idx="35">
                <c:v>3.09753938285619E-2</c:v>
              </c:pt>
              <c:pt idx="36">
                <c:v>3.0895424601766797E-2</c:v>
              </c:pt>
              <c:pt idx="37">
                <c:v>3.0811168646751607E-2</c:v>
              </c:pt>
              <c:pt idx="38">
                <c:v>3.0723070559236718E-2</c:v>
              </c:pt>
              <c:pt idx="39">
                <c:v>3.0631569731795334E-2</c:v>
              </c:pt>
              <c:pt idx="40">
                <c:v>3.0537095939913748E-2</c:v>
              </c:pt>
              <c:pt idx="41">
                <c:v>3.0440065566149834E-2</c:v>
              </c:pt>
              <c:pt idx="42">
                <c:v>3.0340878470143013E-2</c:v>
              </c:pt>
              <c:pt idx="43">
                <c:v>3.0239915490664467E-2</c:v>
              </c:pt>
              <c:pt idx="44">
                <c:v>3.013753654856886E-2</c:v>
              </c:pt>
              <c:pt idx="45">
                <c:v>3.0034079306466045E-2</c:v>
              </c:pt>
              <c:pt idx="46">
                <c:v>2.9929858331954329E-2</c:v>
              </c:pt>
              <c:pt idx="47">
                <c:v>2.9825164705939985E-2</c:v>
              </c:pt>
              <c:pt idx="48">
                <c:v>2.9720266015387919E-2</c:v>
              </c:pt>
              <c:pt idx="49">
                <c:v>2.9615406670232238E-2</c:v>
              </c:pt>
              <c:pt idx="50">
                <c:v>2.9510808486546143E-2</c:v>
              </c:pt>
              <c:pt idx="51">
                <c:v>2.9406671481887747E-2</c:v>
              </c:pt>
              <c:pt idx="52">
                <c:v>2.9303174833518776E-2</c:v>
              </c:pt>
              <c:pt idx="53">
                <c:v>2.9200477955527198E-2</c:v>
              </c:pt>
              <c:pt idx="54">
                <c:v>2.9098721656437745E-2</c:v>
              </c:pt>
              <c:pt idx="55">
                <c:v>2.8998029344407154E-2</c:v>
              </c:pt>
              <c:pt idx="56">
                <c:v>2.8898508252380977E-2</c:v>
              </c:pt>
              <c:pt idx="57">
                <c:v>2.8703335097554711E-2</c:v>
              </c:pt>
              <c:pt idx="58">
                <c:v>2.851378236777297E-2</c:v>
              </c:pt>
              <c:pt idx="59">
                <c:v>2.8330246370545271E-2</c:v>
              </c:pt>
              <c:pt idx="60">
                <c:v>2.8152972654552921E-2</c:v>
              </c:pt>
              <c:pt idx="61">
                <c:v>2.7982085217171569E-2</c:v>
              </c:pt>
              <c:pt idx="62">
                <c:v>2.7817611679725126E-2</c:v>
              </c:pt>
              <c:pt idx="63">
                <c:v>2.7659504585725969E-2</c:v>
              </c:pt>
              <c:pt idx="64">
                <c:v>2.7507659141489754E-2</c:v>
              </c:pt>
              <c:pt idx="65">
                <c:v>2.736192779750813E-2</c:v>
              </c:pt>
              <c:pt idx="66">
                <c:v>2.7222132091611104E-2</c:v>
              </c:pt>
              <c:pt idx="67">
                <c:v>2.7088072162713552E-2</c:v>
              </c:pt>
              <c:pt idx="68">
                <c:v>2.6959534312015688E-2</c:v>
              </c:pt>
              <c:pt idx="69">
                <c:v>2.6836296947176371E-2</c:v>
              </c:pt>
              <c:pt idx="70">
                <c:v>2.6718135200789875E-2</c:v>
              </c:pt>
              <c:pt idx="71">
                <c:v>2.6604824471449687E-2</c:v>
              </c:pt>
              <c:pt idx="72">
                <c:v>2.6496143095974801E-2</c:v>
              </c:pt>
              <c:pt idx="73">
                <c:v>2.6391874326035663E-2</c:v>
              </c:pt>
              <c:pt idx="74">
                <c:v>2.6291807751749163E-2</c:v>
              </c:pt>
              <c:pt idx="75">
                <c:v>2.6195740288684301E-2</c:v>
              </c:pt>
              <c:pt idx="76">
                <c:v>2.6103476822769107E-2</c:v>
              </c:pt>
              <c:pt idx="77">
                <c:v>2.5929623347595597E-2</c:v>
              </c:pt>
              <c:pt idx="78">
                <c:v>2.576885549040217E-2</c:v>
              </c:pt>
              <c:pt idx="79">
                <c:v>2.5619915831599376E-2</c:v>
              </c:pt>
              <c:pt idx="80">
                <c:v>2.5481674836737744E-2</c:v>
              </c:pt>
              <c:pt idx="81">
                <c:v>2.5353121386487928E-2</c:v>
              </c:pt>
              <c:pt idx="82">
                <c:v>2.5068428518398963E-2</c:v>
              </c:pt>
              <c:pt idx="83">
                <c:v>2.4827230795625085E-2</c:v>
              </c:pt>
              <c:pt idx="84">
                <c:v>2.4442186629969609E-2</c:v>
              </c:pt>
              <c:pt idx="85">
                <c:v>2.414963114909378E-2</c:v>
              </c:pt>
              <c:pt idx="86">
                <c:v>2.402846333389709E-2</c:v>
              </c:pt>
              <c:pt idx="87">
                <c:v>2.3353406363149757E-2</c:v>
              </c:pt>
              <c:pt idx="88">
                <c:v>2.2999002443464193E-2</c:v>
              </c:pt>
              <c:pt idx="89">
                <c:v>2.2799421298857658E-2</c:v>
              </c:pt>
              <c:pt idx="90">
                <c:v>2.2582699839968617E-2</c:v>
              </c:pt>
              <c:pt idx="91">
                <c:v>2.2467323292742421E-2</c:v>
              </c:pt>
              <c:pt idx="92">
                <c:v>2.2089999999999999E-2</c:v>
              </c:pt>
              <c:pt idx="93">
                <c:v>2.165980642469871E-2</c:v>
              </c:pt>
              <c:pt idx="94">
                <c:v>2.1503199566169667E-2</c:v>
              </c:pt>
              <c:pt idx="95">
                <c:v>2.1168173569382859E-2</c:v>
              </c:pt>
              <c:pt idx="96">
                <c:v>2.0801799225528907E-2</c:v>
              </c:pt>
              <c:pt idx="97">
                <c:v>2.0690988805760126E-2</c:v>
              </c:pt>
              <c:pt idx="98">
                <c:v>2.0559604697450051E-2</c:v>
              </c:pt>
              <c:pt idx="99">
                <c:v>2.0401439389339485E-2</c:v>
              </c:pt>
              <c:pt idx="100">
                <c:v>2.0207572034326837E-2</c:v>
              </c:pt>
              <c:pt idx="101">
                <c:v>1.9964757470577275E-2</c:v>
              </c:pt>
              <c:pt idx="102">
                <c:v>1.9652577409680225E-2</c:v>
              </c:pt>
              <c:pt idx="103">
                <c:v>1.9460923233841701E-2</c:v>
              </c:pt>
              <c:pt idx="104">
                <c:v>1.9238193372248906E-2</c:v>
              </c:pt>
              <c:pt idx="105">
                <c:v>1.8976723233057824E-2</c:v>
              </c:pt>
              <c:pt idx="106">
                <c:v>1.8666392459664831E-2</c:v>
              </c:pt>
              <c:pt idx="107">
                <c:v>1.852570529591873E-2</c:v>
              </c:pt>
              <c:pt idx="108">
                <c:v>1.8374062199382875E-2</c:v>
              </c:pt>
              <c:pt idx="109">
                <c:v>1.8210304033555037E-2</c:v>
              </c:pt>
              <c:pt idx="110">
                <c:v>1.8033141873399092E-2</c:v>
              </c:pt>
              <c:pt idx="111">
                <c:v>1.784115154316511E-2</c:v>
              </c:pt>
              <c:pt idx="112">
                <c:v>1.7739113876389597E-2</c:v>
              </c:pt>
              <c:pt idx="113">
                <c:v>1.7632774889087193E-2</c:v>
              </c:pt>
              <c:pt idx="114">
                <c:v>1.7521921011946485E-2</c:v>
              </c:pt>
              <c:pt idx="115">
                <c:v>1.7406332952682162E-2</c:v>
              </c:pt>
              <c:pt idx="116">
                <c:v>1.7285787366411454E-2</c:v>
              </c:pt>
              <c:pt idx="117">
                <c:v>1.7160059143280785E-2</c:v>
              </c:pt>
              <c:pt idx="118">
                <c:v>1.7028924469903839E-2</c:v>
              </c:pt>
              <c:pt idx="119">
                <c:v>1.6892164854064209E-2</c:v>
              </c:pt>
              <c:pt idx="120">
                <c:v>1.6749572339624128E-2</c:v>
              </c:pt>
              <c:pt idx="121">
                <c:v>1.6600956180064023E-2</c:v>
              </c:pt>
              <c:pt idx="122">
                <c:v>1.6446151283033186E-2</c:v>
              </c:pt>
              <c:pt idx="123">
                <c:v>1.6285028781766103E-2</c:v>
              </c:pt>
              <c:pt idx="124">
                <c:v>1.6117509127109731E-2</c:v>
              </c:pt>
              <c:pt idx="125">
                <c:v>1.5943578118027123E-2</c:v>
              </c:pt>
              <c:pt idx="126">
                <c:v>1.5763306286351399E-2</c:v>
              </c:pt>
              <c:pt idx="127">
                <c:v>1.5670843378222384E-2</c:v>
              </c:pt>
              <c:pt idx="128">
                <c:v>1.5576872005246526E-2</c:v>
              </c:pt>
              <c:pt idx="129">
                <c:v>1.5481435758274962E-2</c:v>
              </c:pt>
              <c:pt idx="130">
                <c:v>1.5384588575441158E-2</c:v>
              </c:pt>
              <c:pt idx="131">
                <c:v>1.5286395805685589E-2</c:v>
              </c:pt>
              <c:pt idx="132">
                <c:v>1.5186935326412536E-2</c:v>
              </c:pt>
              <c:pt idx="133">
                <c:v>1.5086298707621836E-2</c:v>
              </c:pt>
              <c:pt idx="134">
                <c:v>1.4984592411894704E-2</c:v>
              </c:pt>
              <c:pt idx="135">
                <c:v>1.4881939016159636E-2</c:v>
              </c:pt>
              <c:pt idx="136">
                <c:v>1.4778478437209518E-2</c:v>
              </c:pt>
              <c:pt idx="137">
                <c:v>1.4674369138495832E-2</c:v>
              </c:pt>
              <c:pt idx="138">
                <c:v>1.4569789290830202E-2</c:v>
              </c:pt>
              <c:pt idx="139">
                <c:v>1.4464937854358663E-2</c:v>
              </c:pt>
              <c:pt idx="140">
                <c:v>1.4360035543668952E-2</c:v>
              </c:pt>
            </c:numLit>
          </c:yVal>
          <c:smooth val="1"/>
          <c:extLst>
            <c:ext xmlns:c16="http://schemas.microsoft.com/office/drawing/2014/chart" uri="{C3380CC4-5D6E-409C-BE32-E72D297353CC}">
              <c16:uniqueId val="{000000DA-80A6-4898-BA1B-CA5225561492}"/>
            </c:ext>
          </c:extLst>
        </c:ser>
        <c:ser>
          <c:idx val="181"/>
          <c:order val="181"/>
          <c:tx>
            <c:v>熱水分比基点</c:v>
          </c:tx>
          <c:spPr>
            <a:ln w="3175">
              <a:solidFill>
                <a:srgbClr val="000000"/>
              </a:solidFill>
              <a:prstDash val="solid"/>
            </a:ln>
          </c:spPr>
          <c:marker>
            <c:symbol val="circle"/>
            <c:size val="10"/>
            <c:spPr>
              <a:noFill/>
              <a:ln>
                <a:solidFill>
                  <a:srgbClr val="808080"/>
                </a:solidFill>
                <a:prstDash val="solid"/>
              </a:ln>
              <a:extLst>
                <a:ext uri="{909E8E84-426E-40DD-AFC4-6F175D3DCCD1}">
                  <a14:hiddenFill xmlns:a14="http://schemas.microsoft.com/office/drawing/2010/main">
                    <a:solidFill>
                      <a:srgbClr val="ED7D31">
                        <a:tint val="35000"/>
                      </a:srgbClr>
                    </a:solidFill>
                  </a14:hiddenFill>
                </a:ext>
              </a:extLst>
            </c:spPr>
          </c:marker>
          <c:xVal>
            <c:numLit>
              <c:formatCode>General</c:formatCode>
              <c:ptCount val="1"/>
              <c:pt idx="0">
                <c:v>10.074</c:v>
              </c:pt>
            </c:numLit>
          </c:xVal>
          <c:yVal>
            <c:numLit>
              <c:formatCode>General</c:formatCode>
              <c:ptCount val="1"/>
              <c:pt idx="0">
                <c:v>2.2089999999999999E-2</c:v>
              </c:pt>
            </c:numLit>
          </c:yVal>
          <c:smooth val="0"/>
          <c:extLst>
            <c:ext xmlns:c16="http://schemas.microsoft.com/office/drawing/2014/chart" uri="{C3380CC4-5D6E-409C-BE32-E72D297353CC}">
              <c16:uniqueId val="{000000DB-80A6-4898-BA1B-CA5225561492}"/>
            </c:ext>
          </c:extLst>
        </c:ser>
        <c:ser>
          <c:idx val="182"/>
          <c:order val="182"/>
          <c:tx>
            <c:v>熱水分比基点</c:v>
          </c:tx>
          <c:spPr>
            <a:ln w="3175">
              <a:solidFill>
                <a:srgbClr val="000000"/>
              </a:solidFill>
              <a:prstDash val="solid"/>
            </a:ln>
          </c:spPr>
          <c:marker>
            <c:symbol val="plus"/>
            <c:size val="10"/>
            <c:spPr>
              <a:noFill/>
              <a:ln>
                <a:solidFill>
                  <a:srgbClr val="808080"/>
                </a:solidFill>
                <a:prstDash val="solid"/>
              </a:ln>
              <a:extLst>
                <a:ext uri="{909E8E84-426E-40DD-AFC4-6F175D3DCCD1}">
                  <a14:hiddenFill xmlns:a14="http://schemas.microsoft.com/office/drawing/2010/main">
                    <a:solidFill>
                      <a:srgbClr val="A5A5A5">
                        <a:tint val="35000"/>
                      </a:srgbClr>
                    </a:solidFill>
                  </a14:hiddenFill>
                </a:ext>
              </a:extLst>
            </c:spPr>
          </c:marker>
          <c:xVal>
            <c:numLit>
              <c:formatCode>General</c:formatCode>
              <c:ptCount val="1"/>
              <c:pt idx="0">
                <c:v>10.074</c:v>
              </c:pt>
            </c:numLit>
          </c:xVal>
          <c:yVal>
            <c:numLit>
              <c:formatCode>General</c:formatCode>
              <c:ptCount val="1"/>
              <c:pt idx="0">
                <c:v>2.2089999999999999E-2</c:v>
              </c:pt>
            </c:numLit>
          </c:yVal>
          <c:smooth val="0"/>
          <c:extLst>
            <c:ext xmlns:c16="http://schemas.microsoft.com/office/drawing/2014/chart" uri="{C3380CC4-5D6E-409C-BE32-E72D297353CC}">
              <c16:uniqueId val="{000000DC-80A6-4898-BA1B-CA5225561492}"/>
            </c:ext>
          </c:extLst>
        </c:ser>
        <c:dLbls>
          <c:showLegendKey val="0"/>
          <c:showVal val="0"/>
          <c:showCatName val="0"/>
          <c:showSerName val="0"/>
          <c:showPercent val="0"/>
          <c:showBubbleSize val="0"/>
        </c:dLbls>
        <c:axId val="358253584"/>
        <c:axId val="358251624"/>
      </c:scatterChart>
      <c:valAx>
        <c:axId val="358253584"/>
        <c:scaling>
          <c:orientation val="minMax"/>
          <c:max val="66.8"/>
          <c:min val="-10.226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226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A7BE-467A-B563-E2660BEB21C7}"/>
            </c:ext>
          </c:extLst>
        </c:ser>
        <c:ser>
          <c:idx val="1"/>
          <c:order val="1"/>
          <c:tx>
            <c:v>RH=10_1</c:v>
          </c:tx>
          <c:spPr>
            <a:ln w="3175">
              <a:solidFill>
                <a:srgbClr val="0000FF"/>
              </a:solidFill>
              <a:prstDash val="solid"/>
            </a:ln>
          </c:spPr>
          <c:marker>
            <c:symbol val="none"/>
          </c:marker>
          <c:xVal>
            <c:numLit>
              <c:formatCode>General</c:formatCode>
              <c:ptCount val="38"/>
              <c:pt idx="0">
                <c:v>-10.022515845854288</c:v>
              </c:pt>
              <c:pt idx="1">
                <c:v>-9.0242745409221676</c:v>
              </c:pt>
              <c:pt idx="2">
                <c:v>-8.0261484362497413</c:v>
              </c:pt>
              <c:pt idx="3">
                <c:v>-7.0281432036034337</c:v>
              </c:pt>
              <c:pt idx="4">
                <c:v>-6.030264639370281</c:v>
              </c:pt>
              <c:pt idx="5">
                <c:v>-5.0325186528715511</c:v>
              </c:pt>
              <c:pt idx="6">
                <c:v>-4.0349112529086462</c:v>
              </c:pt>
              <c:pt idx="7">
                <c:v>-3.0374485324113296</c:v>
              </c:pt>
              <c:pt idx="8">
                <c:v>-2.0401366510523835</c:v>
              </c:pt>
              <c:pt idx="9">
                <c:v>-1.0429818156867527</c:v>
              </c:pt>
              <c:pt idx="10">
                <c:v>-4.5990258466929404E-2</c:v>
              </c:pt>
              <c:pt idx="11">
                <c:v>0.95130225988761863</c:v>
              </c:pt>
              <c:pt idx="12">
                <c:v>1.948482863229841</c:v>
              </c:pt>
              <c:pt idx="13">
                <c:v>2.9455451621205664</c:v>
              </c:pt>
              <c:pt idx="14">
                <c:v>3.9424874534598069</c:v>
              </c:pt>
              <c:pt idx="15">
                <c:v>4.9393082814844824</c:v>
              </c:pt>
              <c:pt idx="16">
                <c:v>5.9360051889850451</c:v>
              </c:pt>
              <c:pt idx="17">
                <c:v>6.9325784376125901</c:v>
              </c:pt>
              <c:pt idx="18">
                <c:v>7.9290274761481259</c:v>
              </c:pt>
              <c:pt idx="19">
                <c:v>8.925352119197834</c:v>
              </c:pt>
              <c:pt idx="20">
                <c:v>9.9215525808489353</c:v>
              </c:pt>
              <c:pt idx="21">
                <c:v>10.917627866868482</c:v>
              </c:pt>
              <c:pt idx="22">
                <c:v>11.913580579517904</c:v>
              </c:pt>
              <c:pt idx="23">
                <c:v>12.909412343090143</c:v>
              </c:pt>
              <c:pt idx="24">
                <c:v>13.905125333506772</c:v>
              </c:pt>
              <c:pt idx="25">
                <c:v>14.900722320945141</c:v>
              </c:pt>
              <c:pt idx="26">
                <c:v>15.896206714395055</c:v>
              </c:pt>
              <c:pt idx="27">
                <c:v>16.891582608193989</c:v>
              </c:pt>
              <c:pt idx="28">
                <c:v>17.886854830590597</c:v>
              </c:pt>
              <c:pt idx="29">
                <c:v>18.88202899438723</c:v>
              </c:pt>
              <c:pt idx="30">
                <c:v>19.877111549713185</c:v>
              </c:pt>
              <c:pt idx="31">
                <c:v>20.872109838981636</c:v>
              </c:pt>
              <c:pt idx="32">
                <c:v>21.867032154084356</c:v>
              </c:pt>
              <c:pt idx="33">
                <c:v>22.861887795880001</c:v>
              </c:pt>
              <c:pt idx="34">
                <c:v>23.856687136033244</c:v>
              </c:pt>
              <c:pt idx="35">
                <c:v>24.851441681263879</c:v>
              </c:pt>
              <c:pt idx="36">
                <c:v>25.846161066032678</c:v>
              </c:pt>
              <c:pt idx="37">
                <c:v>26.253989878644347</c:v>
              </c:pt>
            </c:numLit>
          </c:xVal>
          <c:yVal>
            <c:numLit>
              <c:formatCode>General</c:formatCode>
              <c:ptCount val="38"/>
              <c:pt idx="0">
                <c:v>1.6023585830088701E-4</c:v>
              </c:pt>
              <c:pt idx="1">
                <c:v>1.7505511231326874E-4</c:v>
              </c:pt>
              <c:pt idx="2">
                <c:v>1.911168763966824E-4</c:v>
              </c:pt>
              <c:pt idx="3">
                <c:v>2.0851423497609411E-4</c:v>
              </c:pt>
              <c:pt idx="4">
                <c:v>2.2734637997686826E-4</c:v>
              </c:pt>
              <c:pt idx="5">
                <c:v>2.4771895190655777E-4</c:v>
              </c:pt>
              <c:pt idx="6">
                <c:v>2.6974439651381417E-4</c:v>
              </c:pt>
              <c:pt idx="7">
                <c:v>2.9354233758607893E-4</c:v>
              </c:pt>
              <c:pt idx="8">
                <c:v>3.1923996646661596E-4</c:v>
              </c:pt>
              <c:pt idx="9">
                <c:v>3.4697244889161612E-4</c:v>
              </c:pt>
              <c:pt idx="10">
                <c:v>3.7688334976972127E-4</c:v>
              </c:pt>
              <c:pt idx="11">
                <c:v>4.0521031061253583E-4</c:v>
              </c:pt>
              <c:pt idx="12">
                <c:v>4.3536827613222564E-4</c:v>
              </c:pt>
              <c:pt idx="13">
                <c:v>4.6749929089188232E-4</c:v>
              </c:pt>
              <c:pt idx="14">
                <c:v>5.0171368209707661E-4</c:v>
              </c:pt>
              <c:pt idx="15">
                <c:v>5.3812681849648315E-4</c:v>
              </c:pt>
              <c:pt idx="16">
                <c:v>5.7687078746455054E-4</c:v>
              </c:pt>
              <c:pt idx="17">
                <c:v>6.1806170732398903E-4</c:v>
              </c:pt>
              <c:pt idx="18">
                <c:v>6.6183128471435158E-4</c:v>
              </c:pt>
              <c:pt idx="19">
                <c:v>7.0831699761347128E-4</c:v>
              </c:pt>
              <c:pt idx="20">
                <c:v>7.5766228557958958E-4</c:v>
              </c:pt>
              <c:pt idx="21">
                <c:v>8.100329025445516E-4</c:v>
              </c:pt>
              <c:pt idx="22">
                <c:v>8.6557085827349055E-4</c:v>
              </c:pt>
              <c:pt idx="23">
                <c:v>9.244388603298438E-4</c:v>
              </c:pt>
              <c:pt idx="24">
                <c:v>9.8680639466692979E-4</c:v>
              </c:pt>
              <c:pt idx="25">
                <c:v>1.0528499381107718E-3</c:v>
              </c:pt>
              <c:pt idx="26">
                <c:v>1.1227531754685466E-3</c:v>
              </c:pt>
              <c:pt idx="27">
                <c:v>1.196707221383005E-3</c:v>
              </c:pt>
              <c:pt idx="28">
                <c:v>1.2749108470638381E-3</c:v>
              </c:pt>
              <c:pt idx="29">
                <c:v>1.357570712039002E-3</c:v>
              </c:pt>
              <c:pt idx="30">
                <c:v>1.4449016010815252E-3</c:v>
              </c:pt>
              <c:pt idx="31">
                <c:v>1.5371266664811695E-3</c:v>
              </c:pt>
              <c:pt idx="32">
                <c:v>1.6344776758448051E-3</c:v>
              </c:pt>
              <c:pt idx="33">
                <c:v>1.7371952656253776E-3</c:v>
              </c:pt>
              <c:pt idx="34">
                <c:v>1.8455292005959472E-3</c:v>
              </c:pt>
              <c:pt idx="35">
                <c:v>1.9597386395035048E-3</c:v>
              </c:pt>
              <c:pt idx="36">
                <c:v>2.0801339727301582E-3</c:v>
              </c:pt>
              <c:pt idx="37">
                <c:v>2.1313379082339733E-3</c:v>
              </c:pt>
            </c:numLit>
          </c:yVal>
          <c:smooth val="1"/>
          <c:extLst>
            <c:ext xmlns:c16="http://schemas.microsoft.com/office/drawing/2014/chart" uri="{C3380CC4-5D6E-409C-BE32-E72D297353CC}">
              <c16:uniqueId val="{00000001-A7BE-467A-B563-E2660BEB21C7}"/>
            </c:ext>
          </c:extLst>
        </c:ser>
        <c:ser>
          <c:idx val="2"/>
          <c:order val="2"/>
          <c:tx>
            <c:v>RH=10_Label1</c:v>
          </c:tx>
          <c:spPr>
            <a:ln w="3175">
              <a:solidFill>
                <a:srgbClr val="0000FF"/>
              </a:solidFill>
              <a:prstDash val="solid"/>
            </a:ln>
          </c:spPr>
          <c:marker>
            <c:symbol val="none"/>
          </c:marker>
          <c:dLbls>
            <c:dLbl>
              <c:idx val="0"/>
              <c:tx>
                <c:rich>
                  <a:bodyPr rot="-7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27.000013605675949</c:v>
              </c:pt>
            </c:numLit>
          </c:xVal>
          <c:yVal>
            <c:numLit>
              <c:formatCode>General</c:formatCode>
              <c:ptCount val="1"/>
              <c:pt idx="0">
                <c:v>2.2278649752776442E-3</c:v>
              </c:pt>
            </c:numLit>
          </c:yVal>
          <c:smooth val="0"/>
          <c:extLst>
            <c:ext xmlns:c16="http://schemas.microsoft.com/office/drawing/2014/chart" uri="{C3380CC4-5D6E-409C-BE32-E72D297353CC}">
              <c16:uniqueId val="{00000003-A7BE-467A-B563-E2660BEB21C7}"/>
            </c:ext>
          </c:extLst>
        </c:ser>
        <c:ser>
          <c:idx val="3"/>
          <c:order val="3"/>
          <c:tx>
            <c:v>RH=10_2</c:v>
          </c:tx>
          <c:spPr>
            <a:ln w="3175">
              <a:solidFill>
                <a:srgbClr val="0000FF"/>
              </a:solidFill>
              <a:prstDash val="solid"/>
            </a:ln>
          </c:spPr>
          <c:marker>
            <c:symbol val="none"/>
          </c:marker>
          <c:xVal>
            <c:numLit>
              <c:formatCode>General</c:formatCode>
              <c:ptCount val="37"/>
              <c:pt idx="0">
                <c:v>27.73609006098048</c:v>
              </c:pt>
              <c:pt idx="1">
                <c:v>28.730799701758979</c:v>
              </c:pt>
              <c:pt idx="2">
                <c:v>29.725539429220156</c:v>
              </c:pt>
              <c:pt idx="3">
                <c:v>30.720328895317859</c:v>
              </c:pt>
              <c:pt idx="4">
                <c:v>31.715189403094477</c:v>
              </c:pt>
              <c:pt idx="5">
                <c:v>32.710143992516024</c:v>
              </c:pt>
              <c:pt idx="6">
                <c:v>33.705217529375787</c:v>
              </c:pt>
              <c:pt idx="7">
                <c:v>34.700436797358911</c:v>
              </c:pt>
              <c:pt idx="8">
                <c:v>35.695830593365763</c:v>
              </c:pt>
              <c:pt idx="9">
                <c:v>36.691429826197485</c:v>
              </c:pt>
              <c:pt idx="10">
                <c:v>37.687267618713875</c:v>
              </c:pt>
              <c:pt idx="11">
                <c:v>38.683379413579942</c:v>
              </c:pt>
              <c:pt idx="12">
                <c:v>39.679803082725634</c:v>
              </c:pt>
              <c:pt idx="13">
                <c:v>40.676577024050054</c:v>
              </c:pt>
              <c:pt idx="14">
                <c:v>41.673746048908143</c:v>
              </c:pt>
              <c:pt idx="15">
                <c:v>42.671356246740203</c:v>
              </c:pt>
              <c:pt idx="16">
                <c:v>43.669456395210041</c:v>
              </c:pt>
              <c:pt idx="17">
                <c:v>44.668098311311262</c:v>
              </c:pt>
              <c:pt idx="18">
                <c:v>45.667336986381841</c:v>
              </c:pt>
              <c:pt idx="19">
                <c:v>46.667230725977483</c:v>
              </c:pt>
              <c:pt idx="20">
                <c:v>47.667841294814849</c:v>
              </c:pt>
              <c:pt idx="21">
                <c:v>48.669234067010308</c:v>
              </c:pt>
              <c:pt idx="22">
                <c:v>49.671478181856422</c:v>
              </c:pt>
              <c:pt idx="23">
                <c:v>50.674646705395418</c:v>
              </c:pt>
              <c:pt idx="24">
                <c:v>51.678816798067821</c:v>
              </c:pt>
              <c:pt idx="25">
                <c:v>52.684069888734548</c:v>
              </c:pt>
              <c:pt idx="26">
                <c:v>53.690491855392395</c:v>
              </c:pt>
              <c:pt idx="27">
                <c:v>54.698173212926243</c:v>
              </c:pt>
              <c:pt idx="28">
                <c:v>55.707209308266307</c:v>
              </c:pt>
              <c:pt idx="29">
                <c:v>56.717700523346046</c:v>
              </c:pt>
              <c:pt idx="30">
                <c:v>57.729752486285008</c:v>
              </c:pt>
              <c:pt idx="31">
                <c:v>58.743476291252726</c:v>
              </c:pt>
              <c:pt idx="32">
                <c:v>59.758988727502889</c:v>
              </c:pt>
              <c:pt idx="33">
                <c:v>60.776414776355224</c:v>
              </c:pt>
              <c:pt idx="34">
                <c:v>61.795880589295848</c:v>
              </c:pt>
              <c:pt idx="35">
                <c:v>62.817521094338439</c:v>
              </c:pt>
              <c:pt idx="36">
                <c:v>63.124458347068931</c:v>
              </c:pt>
            </c:numLit>
          </c:xVal>
          <c:yVal>
            <c:numLit>
              <c:formatCode>General</c:formatCode>
              <c:ptCount val="37"/>
              <c:pt idx="0">
                <c:v>2.3268337235576001E-3</c:v>
              </c:pt>
              <c:pt idx="1">
                <c:v>2.466676811153637E-3</c:v>
              </c:pt>
              <c:pt idx="2">
                <c:v>2.6138166712018933E-3</c:v>
              </c:pt>
              <c:pt idx="3">
                <c:v>2.7685741400948331E-3</c:v>
              </c:pt>
              <c:pt idx="4">
                <c:v>2.9312815010714525E-3</c:v>
              </c:pt>
              <c:pt idx="5">
                <c:v>3.1022828107865022E-3</c:v>
              </c:pt>
              <c:pt idx="6">
                <c:v>3.2819342352185372E-3</c:v>
              </c:pt>
              <c:pt idx="7">
                <c:v>3.4706043954107185E-3</c:v>
              </c:pt>
              <c:pt idx="8">
                <c:v>3.6686747235745365E-3</c:v>
              </c:pt>
              <c:pt idx="9">
                <c:v>3.87653983012467E-3</c:v>
              </c:pt>
              <c:pt idx="10">
                <c:v>4.094607882253176E-3</c:v>
              </c:pt>
              <c:pt idx="11">
                <c:v>4.3233009946946083E-3</c:v>
              </c:pt>
              <c:pt idx="12">
                <c:v>4.5630556333788666E-3</c:v>
              </c:pt>
              <c:pt idx="13">
                <c:v>4.8143664868622081E-3</c:v>
              </c:pt>
              <c:pt idx="14">
                <c:v>5.0776664167760535E-3</c:v>
              </c:pt>
              <c:pt idx="15">
                <c:v>5.3534333142334486E-3</c:v>
              </c:pt>
              <c:pt idx="16">
                <c:v>5.6421657767406772E-3</c:v>
              </c:pt>
              <c:pt idx="17">
                <c:v>5.9443790149535658E-3</c:v>
              </c:pt>
              <c:pt idx="18">
                <c:v>6.2606053522673184E-3</c:v>
              </c:pt>
              <c:pt idx="19">
                <c:v>6.5913947437551716E-3</c:v>
              </c:pt>
              <c:pt idx="20">
                <c:v>6.9373153156377931E-3</c:v>
              </c:pt>
              <c:pt idx="21">
                <c:v>7.2989539265431412E-3</c:v>
              </c:pt>
              <c:pt idx="22">
                <c:v>7.6769167519012806E-3</c:v>
              </c:pt>
              <c:pt idx="23">
                <c:v>8.0718298929077399E-3</c:v>
              </c:pt>
              <c:pt idx="24">
                <c:v>8.4843400115828284E-3</c:v>
              </c:pt>
              <c:pt idx="25">
                <c:v>8.9151149935584491E-3</c:v>
              </c:pt>
              <c:pt idx="26">
                <c:v>9.3648446403290578E-3</c:v>
              </c:pt>
              <c:pt idx="27">
                <c:v>9.8342413928217548E-3</c:v>
              </c:pt>
              <c:pt idx="28">
                <c:v>1.0324041088262022E-2</c:v>
              </c:pt>
              <c:pt idx="29">
                <c:v>1.083500375244484E-2</c:v>
              </c:pt>
              <c:pt idx="30">
                <c:v>1.1367914429661627E-2</c:v>
              </c:pt>
              <c:pt idx="31">
                <c:v>1.1923584052685099E-2</c:v>
              </c:pt>
              <c:pt idx="32">
                <c:v>1.2502850355375321E-2</c:v>
              </c:pt>
              <c:pt idx="33">
                <c:v>1.3106339340780666E-2</c:v>
              </c:pt>
              <c:pt idx="34">
                <c:v>1.3735133381638013E-2</c:v>
              </c:pt>
              <c:pt idx="35">
                <c:v>1.4390180210811046E-2</c:v>
              </c:pt>
              <c:pt idx="36">
                <c:v>1.4591955232078638E-2</c:v>
              </c:pt>
            </c:numLit>
          </c:yVal>
          <c:smooth val="1"/>
          <c:extLst>
            <c:ext xmlns:c16="http://schemas.microsoft.com/office/drawing/2014/chart" uri="{C3380CC4-5D6E-409C-BE32-E72D297353CC}">
              <c16:uniqueId val="{00000004-A7BE-467A-B563-E2660BEB21C7}"/>
            </c:ext>
          </c:extLst>
        </c:ser>
        <c:ser>
          <c:idx val="4"/>
          <c:order val="4"/>
          <c:tx>
            <c:v>RH=10_Label2</c:v>
          </c:tx>
          <c:spPr>
            <a:ln w="3175">
              <a:solidFill>
                <a:srgbClr val="0000FF"/>
              </a:solidFill>
              <a:prstDash val="solid"/>
            </a:ln>
          </c:spPr>
          <c:marker>
            <c:symbol val="none"/>
          </c:marker>
          <c:dLbls>
            <c:dLbl>
              <c:idx val="0"/>
              <c:tx>
                <c:rich>
                  <a:bodyPr rot="-29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63.431607999375224</c:v>
              </c:pt>
            </c:numLit>
          </c:xVal>
          <c:yVal>
            <c:numLit>
              <c:formatCode>General</c:formatCode>
              <c:ptCount val="1"/>
              <c:pt idx="0">
                <c:v>1.4796204866350885E-2</c:v>
              </c:pt>
            </c:numLit>
          </c:yVal>
          <c:smooth val="0"/>
          <c:extLst>
            <c:ext xmlns:c16="http://schemas.microsoft.com/office/drawing/2014/chart" uri="{C3380CC4-5D6E-409C-BE32-E72D297353CC}">
              <c16:uniqueId val="{00000006-A7BE-467A-B563-E2660BEB21C7}"/>
            </c:ext>
          </c:extLst>
        </c:ser>
        <c:ser>
          <c:idx val="5"/>
          <c:order val="5"/>
          <c:tx>
            <c:v>RH=10_3</c:v>
          </c:tx>
          <c:spPr>
            <a:ln w="3175">
              <a:solidFill>
                <a:srgbClr val="0000FF"/>
              </a:solidFill>
              <a:prstDash val="solid"/>
            </a:ln>
          </c:spPr>
          <c:marker>
            <c:symbol val="none"/>
          </c:marker>
          <c:xVal>
            <c:numLit>
              <c:formatCode>General</c:formatCode>
              <c:ptCount val="4"/>
              <c:pt idx="0">
                <c:v>63.738974061044722</c:v>
              </c:pt>
              <c:pt idx="1">
                <c:v>64.76514322578889</c:v>
              </c:pt>
              <c:pt idx="2">
                <c:v>65.793918124926535</c:v>
              </c:pt>
              <c:pt idx="3">
                <c:v>66</c:v>
              </c:pt>
            </c:numLit>
          </c:xVal>
          <c:yVal>
            <c:numLit>
              <c:formatCode>General</c:formatCode>
              <c:ptCount val="4"/>
              <c:pt idx="0">
                <c:v>1.500295566691264E-2</c:v>
              </c:pt>
              <c:pt idx="1">
                <c:v>1.5710535329919721E-2</c:v>
              </c:pt>
              <c:pt idx="2">
                <c:v>1.6447221300864481E-2</c:v>
              </c:pt>
              <c:pt idx="3">
                <c:v>1.6598142985530452E-2</c:v>
              </c:pt>
            </c:numLit>
          </c:yVal>
          <c:smooth val="1"/>
          <c:extLst>
            <c:ext xmlns:c16="http://schemas.microsoft.com/office/drawing/2014/chart" uri="{C3380CC4-5D6E-409C-BE32-E72D297353CC}">
              <c16:uniqueId val="{00000007-A7BE-467A-B563-E2660BEB21C7}"/>
            </c:ext>
          </c:extLst>
        </c:ser>
        <c:ser>
          <c:idx val="6"/>
          <c:order val="6"/>
          <c:tx>
            <c:v>RH=20_1</c:v>
          </c:tx>
          <c:spPr>
            <a:ln w="3175">
              <a:solidFill>
                <a:srgbClr val="0000FF"/>
              </a:solidFill>
              <a:prstDash val="solid"/>
            </a:ln>
          </c:spPr>
          <c:marker>
            <c:symbol val="none"/>
          </c:marker>
          <c:xVal>
            <c:numLit>
              <c:formatCode>General</c:formatCode>
              <c:ptCount val="34"/>
              <c:pt idx="0">
                <c:v>-10.045043295861721</c:v>
              </c:pt>
              <c:pt idx="1">
                <c:v>-9.0485627497397818</c:v>
              </c:pt>
              <c:pt idx="2">
                <c:v>-8.0523129467896286</c:v>
              </c:pt>
              <c:pt idx="3">
                <c:v>-7.0563052831402402</c:v>
              </c:pt>
              <c:pt idx="4">
                <c:v>-6.0605514115168733</c:v>
              </c:pt>
              <c:pt idx="5">
                <c:v>-5.0650632187826918</c:v>
              </c:pt>
              <c:pt idx="6">
                <c:v>-4.0698528000412102</c:v>
              </c:pt>
              <c:pt idx="7">
                <c:v>-3.0749324290472053</c:v>
              </c:pt>
              <c:pt idx="8">
                <c:v>-2.0803145246620192</c:v>
              </c:pt>
              <c:pt idx="9">
                <c:v>-1.0860116130771333</c:v>
              </c:pt>
              <c:pt idx="10">
                <c:v>-9.2036285517392291E-2</c:v>
              </c:pt>
              <c:pt idx="11">
                <c:v>0.90254102676772041</c:v>
              </c:pt>
              <c:pt idx="12">
                <c:v>1.8968935548862109</c:v>
              </c:pt>
              <c:pt idx="13">
                <c:v>2.8910084028057135</c:v>
              </c:pt>
              <c:pt idx="14">
                <c:v>3.8848820482240578</c:v>
              </c:pt>
              <c:pt idx="15">
                <c:v>4.8785114530856326</c:v>
              </c:pt>
              <c:pt idx="16">
                <c:v>5.8718915606185584</c:v>
              </c:pt>
              <c:pt idx="17">
                <c:v>6.8650227482908068</c:v>
              </c:pt>
              <c:pt idx="18">
                <c:v>7.8579037517069086</c:v>
              </c:pt>
              <c:pt idx="19">
                <c:v>8.8505340250598437</c:v>
              </c:pt>
              <c:pt idx="20">
                <c:v>9.8429138078225087</c:v>
              </c:pt>
              <c:pt idx="21">
                <c:v>10.83504089998252</c:v>
              </c:pt>
              <c:pt idx="22">
                <c:v>11.826920294781337</c:v>
              </c:pt>
              <c:pt idx="23">
                <c:v>12.818555007409001</c:v>
              </c:pt>
              <c:pt idx="24">
                <c:v>13.809949140592483</c:v>
              </c:pt>
              <c:pt idx="25">
                <c:v>14.801107969550419</c:v>
              </c:pt>
              <c:pt idx="26">
                <c:v>15.792038030929808</c:v>
              </c:pt>
              <c:pt idx="27">
                <c:v>16.782747215848318</c:v>
              </c:pt>
              <c:pt idx="28">
                <c:v>17.773244867170984</c:v>
              </c:pt>
              <c:pt idx="29">
                <c:v>18.763541881155614</c:v>
              </c:pt>
              <c:pt idx="30">
                <c:v>19.753650813607141</c:v>
              </c:pt>
              <c:pt idx="31">
                <c:v>20.74358599068816</c:v>
              </c:pt>
              <c:pt idx="32">
                <c:v>21.733363624540207</c:v>
              </c:pt>
              <c:pt idx="33">
                <c:v>22.723001933878635</c:v>
              </c:pt>
            </c:numLit>
          </c:xVal>
          <c:yVal>
            <c:numLit>
              <c:formatCode>General</c:formatCode>
              <c:ptCount val="34"/>
              <c:pt idx="0">
                <c:v>3.2055429850658324E-4</c:v>
              </c:pt>
              <c:pt idx="1">
                <c:v>3.5020879023814594E-4</c:v>
              </c:pt>
              <c:pt idx="2">
                <c:v>3.8235123852344135E-4</c:v>
              </c:pt>
              <c:pt idx="3">
                <c:v>4.1716832257387661E-4</c:v>
              </c:pt>
              <c:pt idx="4">
                <c:v>4.5485902020590482E-4</c:v>
              </c:pt>
              <c:pt idx="5">
                <c:v>4.9563530285770194E-4</c:v>
              </c:pt>
              <c:pt idx="6">
                <c:v>5.3972286360566622E-4</c:v>
              </c:pt>
              <c:pt idx="7">
                <c:v>5.873618795503245E-4</c:v>
              </c:pt>
              <c:pt idx="8">
                <c:v>6.3880781000941775E-4</c:v>
              </c:pt>
              <c:pt idx="9">
                <c:v>6.9433223203014031E-4</c:v>
              </c:pt>
              <c:pt idx="10">
                <c:v>7.5422371481342985E-4</c:v>
              </c:pt>
              <c:pt idx="11">
                <c:v>8.1094894186661099E-4</c:v>
              </c:pt>
              <c:pt idx="12">
                <c:v>8.7134646996364098E-4</c:v>
              </c:pt>
              <c:pt idx="13">
                <c:v>9.3570188408817544E-4</c:v>
              </c:pt>
              <c:pt idx="14">
                <c:v>1.0042374218400759E-3</c:v>
              </c:pt>
              <c:pt idx="15">
                <c:v>1.0771856001749857E-3</c:v>
              </c:pt>
              <c:pt idx="16">
                <c:v>1.154812634567477E-3</c:v>
              </c:pt>
              <c:pt idx="17">
                <c:v>1.2373529726576297E-3</c:v>
              </c:pt>
              <c:pt idx="18">
                <c:v>1.3250725415540391E-3</c:v>
              </c:pt>
              <c:pt idx="19">
                <c:v>1.4182491113921719E-3</c:v>
              </c:pt>
              <c:pt idx="20">
                <c:v>1.5171727086266814E-3</c:v>
              </c:pt>
              <c:pt idx="21">
                <c:v>1.622178442009625E-3</c:v>
              </c:pt>
              <c:pt idx="22">
                <c:v>1.7335541960372019E-3</c:v>
              </c:pt>
              <c:pt idx="23">
                <c:v>1.8516297681735034E-3</c:v>
              </c:pt>
              <c:pt idx="24">
                <c:v>1.9767490132750658E-3</c:v>
              </c:pt>
              <c:pt idx="25">
                <c:v>2.10927032081257E-3</c:v>
              </c:pt>
              <c:pt idx="26">
                <c:v>2.2495671062861596E-3</c:v>
              </c:pt>
              <c:pt idx="27">
                <c:v>2.3980283174961114E-3</c:v>
              </c:pt>
              <c:pt idx="28">
                <c:v>2.5550589563843114E-3</c:v>
              </c:pt>
              <c:pt idx="29">
                <c:v>2.7210806172209283E-3</c:v>
              </c:pt>
              <c:pt idx="30">
                <c:v>2.8965320419730616E-3</c:v>
              </c:pt>
              <c:pt idx="31">
                <c:v>3.0818696937599506E-3</c:v>
              </c:pt>
              <c:pt idx="32">
                <c:v>3.2775683493713736E-3</c:v>
              </c:pt>
              <c:pt idx="33">
                <c:v>3.4841217119041239E-3</c:v>
              </c:pt>
            </c:numLit>
          </c:yVal>
          <c:smooth val="1"/>
          <c:extLst>
            <c:ext xmlns:c16="http://schemas.microsoft.com/office/drawing/2014/chart" uri="{C3380CC4-5D6E-409C-BE32-E72D297353CC}">
              <c16:uniqueId val="{00000008-A7BE-467A-B563-E2660BEB21C7}"/>
            </c:ext>
          </c:extLst>
        </c:ser>
        <c:ser>
          <c:idx val="7"/>
          <c:order val="7"/>
          <c:tx>
            <c:v>RH=20_Label1</c:v>
          </c:tx>
          <c:spPr>
            <a:ln w="3175">
              <a:solidFill>
                <a:srgbClr val="0000FF"/>
              </a:solidFill>
              <a:prstDash val="solid"/>
            </a:ln>
          </c:spPr>
          <c:marker>
            <c:symbol val="none"/>
          </c:marker>
          <c:dLbls>
            <c:dLbl>
              <c:idx val="0"/>
              <c:tx>
                <c:rich>
                  <a:bodyPr rot="-12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23.356306640388045</c:v>
              </c:pt>
            </c:numLit>
          </c:xVal>
          <c:yVal>
            <c:numLit>
              <c:formatCode>General</c:formatCode>
              <c:ptCount val="1"/>
              <c:pt idx="0">
                <c:v>3.6222486187216128E-3</c:v>
              </c:pt>
            </c:numLit>
          </c:yVal>
          <c:smooth val="0"/>
          <c:extLst>
            <c:ext xmlns:c16="http://schemas.microsoft.com/office/drawing/2014/chart" uri="{C3380CC4-5D6E-409C-BE32-E72D297353CC}">
              <c16:uniqueId val="{0000000A-A7BE-467A-B563-E2660BEB21C7}"/>
            </c:ext>
          </c:extLst>
        </c:ser>
        <c:ser>
          <c:idx val="8"/>
          <c:order val="8"/>
          <c:tx>
            <c:v>RH=20_2</c:v>
          </c:tx>
          <c:spPr>
            <a:ln w="3175">
              <a:solidFill>
                <a:srgbClr val="0000FF"/>
              </a:solidFill>
              <a:prstDash val="solid"/>
            </a:ln>
          </c:spPr>
          <c:marker>
            <c:symbol val="none"/>
          </c:marker>
          <c:xVal>
            <c:numLit>
              <c:formatCode>General</c:formatCode>
              <c:ptCount val="32"/>
              <c:pt idx="0">
                <c:v>23.979673970511971</c:v>
              </c:pt>
              <c:pt idx="1">
                <c:v>24.969073487029014</c:v>
              </c:pt>
              <c:pt idx="2">
                <c:v>25.958404164931927</c:v>
              </c:pt>
              <c:pt idx="3">
                <c:v>26.947698515658828</c:v>
              </c:pt>
              <c:pt idx="4">
                <c:v>27.936987538008921</c:v>
              </c:pt>
              <c:pt idx="5">
                <c:v>28.926305121207019</c:v>
              </c:pt>
              <c:pt idx="6">
                <c:v>29.915688207856562</c:v>
              </c:pt>
              <c:pt idx="7">
                <c:v>30.905176963684063</c:v>
              </c:pt>
              <c:pt idx="8">
                <c:v>31.894814954367718</c:v>
              </c:pt>
              <c:pt idx="9">
                <c:v>32.884649329764635</c:v>
              </c:pt>
              <c:pt idx="10">
                <c:v>33.874731015874694</c:v>
              </c:pt>
              <c:pt idx="11">
                <c:v>34.865114914904517</c:v>
              </c:pt>
              <c:pt idx="12">
                <c:v>35.855860113823454</c:v>
              </c:pt>
              <c:pt idx="13">
                <c:v>36.847030101833518</c:v>
              </c:pt>
              <c:pt idx="14">
                <c:v>37.838692997208909</c:v>
              </c:pt>
              <c:pt idx="15">
                <c:v>38.830921783996708</c:v>
              </c:pt>
              <c:pt idx="16">
                <c:v>39.823793342042343</c:v>
              </c:pt>
              <c:pt idx="17">
                <c:v>40.817388979008591</c:v>
              </c:pt>
              <c:pt idx="18">
                <c:v>41.811801062193382</c:v>
              </c:pt>
              <c:pt idx="19">
                <c:v>42.807124649578689</c:v>
              </c:pt>
              <c:pt idx="20">
                <c:v>43.803461020676302</c:v>
              </c:pt>
              <c:pt idx="21">
                <c:v>44.80091798555172</c:v>
              </c:pt>
              <c:pt idx="22">
                <c:v>45.799610208498919</c:v>
              </c:pt>
              <c:pt idx="23">
                <c:v>46.799659547292201</c:v>
              </c:pt>
              <c:pt idx="24">
                <c:v>47.801195409019122</c:v>
              </c:pt>
              <c:pt idx="25">
                <c:v>48.804355123583527</c:v>
              </c:pt>
              <c:pt idx="26">
                <c:v>49.809284336060067</c:v>
              </c:pt>
              <c:pt idx="27">
                <c:v>50.8161374191831</c:v>
              </c:pt>
              <c:pt idx="28">
                <c:v>51.82507790736237</c:v>
              </c:pt>
              <c:pt idx="29">
                <c:v>52.836278953738763</c:v>
              </c:pt>
              <c:pt idx="30">
                <c:v>53.849923811924384</c:v>
              </c:pt>
              <c:pt idx="31">
                <c:v>53.849923811924391</c:v>
              </c:pt>
            </c:numLit>
          </c:xVal>
          <c:yVal>
            <c:numLit>
              <c:formatCode>General</c:formatCode>
              <c:ptCount val="32"/>
              <c:pt idx="0">
                <c:v>3.762899562535327E-3</c:v>
              </c:pt>
              <c:pt idx="1">
                <c:v>3.9960515227318218E-3</c:v>
              </c:pt>
              <c:pt idx="2">
                <c:v>4.2418774317838923E-3</c:v>
              </c:pt>
              <c:pt idx="3">
                <c:v>4.5009049866489162E-3</c:v>
              </c:pt>
              <c:pt idx="4">
                <c:v>4.7737395125384907E-3</c:v>
              </c:pt>
              <c:pt idx="5">
                <c:v>5.0610096938973562E-3</c:v>
              </c:pt>
              <c:pt idx="6">
                <c:v>5.3633683765682734E-3</c:v>
              </c:pt>
              <c:pt idx="7">
                <c:v>5.6814934027757868E-3</c:v>
              </c:pt>
              <c:pt idx="8">
                <c:v>6.0160884810445394E-3</c:v>
              </c:pt>
              <c:pt idx="9">
                <c:v>6.3678840933275062E-3</c:v>
              </c:pt>
              <c:pt idx="10">
                <c:v>6.7376384417931747E-3</c:v>
              </c:pt>
              <c:pt idx="11">
                <c:v>7.1261384379044338E-3</c:v>
              </c:pt>
              <c:pt idx="12">
                <c:v>7.5342007366225091E-3</c:v>
              </c:pt>
              <c:pt idx="13">
                <c:v>7.9626728187814425E-3</c:v>
              </c:pt>
              <c:pt idx="14">
                <c:v>8.4124341249109912E-3</c:v>
              </c:pt>
              <c:pt idx="15">
                <c:v>8.8843972440316565E-3</c:v>
              </c:pt>
              <c:pt idx="16">
                <c:v>9.3795347447102571E-3</c:v>
              </c:pt>
              <c:pt idx="17">
                <c:v>9.8988796663613213E-3</c:v>
              </c:pt>
              <c:pt idx="18">
                <c:v>1.0443387106594744E-2</c:v>
              </c:pt>
              <c:pt idx="19">
                <c:v>1.1014116215220278E-2</c:v>
              </c:pt>
              <c:pt idx="20">
                <c:v>1.1612166253473307E-2</c:v>
              </c:pt>
              <c:pt idx="21">
                <c:v>1.2238678206094762E-2</c:v>
              </c:pt>
              <c:pt idx="22">
                <c:v>1.2894836482025707E-2</c:v>
              </c:pt>
              <c:pt idx="23">
                <c:v>1.3581870710092103E-2</c:v>
              </c:pt>
              <c:pt idx="24">
                <c:v>1.4301057636554095E-2</c:v>
              </c:pt>
              <c:pt idx="25">
                <c:v>1.5053723131936305E-2</c:v>
              </c:pt>
              <c:pt idx="26">
                <c:v>1.5841244315142167E-2</c:v>
              </c:pt>
              <c:pt idx="27">
                <c:v>1.6665051803495135E-2</c:v>
              </c:pt>
              <c:pt idx="28">
                <c:v>1.7526632098044944E-2</c:v>
              </c:pt>
              <c:pt idx="29">
                <c:v>1.8427530114233887E-2</c:v>
              </c:pt>
              <c:pt idx="30">
                <c:v>1.9369351868844243E-2</c:v>
              </c:pt>
              <c:pt idx="31">
                <c:v>1.9369351868844243E-2</c:v>
              </c:pt>
            </c:numLit>
          </c:yVal>
          <c:smooth val="1"/>
          <c:extLst>
            <c:ext xmlns:c16="http://schemas.microsoft.com/office/drawing/2014/chart" uri="{C3380CC4-5D6E-409C-BE32-E72D297353CC}">
              <c16:uniqueId val="{0000000B-A7BE-467A-B563-E2660BEB21C7}"/>
            </c:ext>
          </c:extLst>
        </c:ser>
        <c:ser>
          <c:idx val="9"/>
          <c:order val="9"/>
          <c:tx>
            <c:v>RH=20_Label2</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54.154522508425515</c:v>
              </c:pt>
            </c:numLit>
          </c:xVal>
          <c:yVal>
            <c:numLit>
              <c:formatCode>General</c:formatCode>
              <c:ptCount val="1"/>
              <c:pt idx="0">
                <c:v>1.9660126460452891E-2</c:v>
              </c:pt>
            </c:numLit>
          </c:yVal>
          <c:smooth val="0"/>
          <c:extLst>
            <c:ext xmlns:c16="http://schemas.microsoft.com/office/drawing/2014/chart" uri="{C3380CC4-5D6E-409C-BE32-E72D297353CC}">
              <c16:uniqueId val="{0000000D-A7BE-467A-B563-E2660BEB21C7}"/>
            </c:ext>
          </c:extLst>
        </c:ser>
        <c:ser>
          <c:idx val="10"/>
          <c:order val="10"/>
          <c:tx>
            <c:v>RH=20_3</c:v>
          </c:tx>
          <c:spPr>
            <a:ln w="3175">
              <a:solidFill>
                <a:srgbClr val="0000FF"/>
              </a:solidFill>
              <a:prstDash val="solid"/>
            </a:ln>
          </c:spPr>
          <c:marker>
            <c:symbol val="none"/>
          </c:marker>
          <c:dLbls>
            <c:dLbl>
              <c:idx val="3"/>
              <c:tx>
                <c:rich>
                  <a:bodyPr rot="-3720000" vert="horz" wrap="square" lIns="0" tIns="0" rIns="0" bIns="0" anchor="ctr">
                    <a:spAutoFit/>
                  </a:bodyPr>
                  <a:lstStyle/>
                  <a:p>
                    <a:pPr algn="ctr">
                      <a:defRPr altLang="en-US" sz="700" i="1" u="none" strike="noStrike" baseline="0">
                        <a:latin typeface="ＭＳ Ｐ明朝"/>
                        <a:ea typeface="ＭＳ Ｐ明朝"/>
                        <a:cs typeface="ＭＳ Ｐ明朝"/>
                      </a:defRPr>
                    </a:pPr>
                    <a:r>
                      <a:rPr lang="ja-JP" altLang="en-US"/>
                      <a:t>相対湿度 </a:t>
                    </a:r>
                    <a:r>
                      <a:rPr lang="el-GR"/>
                      <a:t>φ[</a:t>
                    </a:r>
                    <a:r>
                      <a:rPr lang="ja-JP" altLang="el-GR"/>
                      <a:t>％</a:t>
                    </a:r>
                    <a:r>
                      <a:rPr lang="el-GR"/>
                      <a:t>]
</a:t>
                    </a:r>
                    <a:endParaRPr lang="el-GR" altLang="ja-JP"/>
                  </a:p>
                </c:rich>
              </c:tx>
              <c:spPr>
                <a:solidFill>
                  <a:srgbClr val="FFFFFF">
                    <a:alpha val="0"/>
                  </a:srgbClr>
                </a:solidFill>
                <a:ln>
                  <a:noFill/>
                </a:ln>
                <a:effectLst/>
              </c:spPr>
              <c:dLblPos val="ct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3"/>
              <c:pt idx="0">
                <c:v>54.459363946033008</c:v>
              </c:pt>
              <c:pt idx="1">
                <c:v>55.47732674991709</c:v>
              </c:pt>
              <c:pt idx="2">
                <c:v>56.498260824436713</c:v>
              </c:pt>
              <c:pt idx="3">
                <c:v>57.522390202969184</c:v>
              </c:pt>
              <c:pt idx="4">
                <c:v>58.549951608181537</c:v>
              </c:pt>
              <c:pt idx="5">
                <c:v>59.581195109902005</c:v>
              </c:pt>
              <c:pt idx="6">
                <c:v>60.616389398717992</c:v>
              </c:pt>
              <c:pt idx="7">
                <c:v>61.655807970675284</c:v>
              </c:pt>
              <c:pt idx="8">
                <c:v>62.699744231604235</c:v>
              </c:pt>
              <c:pt idx="9">
                <c:v>63.748508745522507</c:v>
              </c:pt>
              <c:pt idx="10">
                <c:v>64.802429346757265</c:v>
              </c:pt>
              <c:pt idx="11">
                <c:v>65.86185208783165</c:v>
              </c:pt>
              <c:pt idx="12">
                <c:v>66</c:v>
              </c:pt>
            </c:numLit>
          </c:xVal>
          <c:yVal>
            <c:numLit>
              <c:formatCode>General</c:formatCode>
              <c:ptCount val="13"/>
              <c:pt idx="0">
                <c:v>1.9954780274700549E-2</c:v>
              </c:pt>
              <c:pt idx="1">
                <c:v>2.0965581291777443E-2</c:v>
              </c:pt>
              <c:pt idx="2">
                <c:v>2.202178865707239E-2</c:v>
              </c:pt>
              <c:pt idx="3">
                <c:v>2.3125253330490422E-2</c:v>
              </c:pt>
              <c:pt idx="4">
                <c:v>2.4277902107510501E-2</c:v>
              </c:pt>
              <c:pt idx="5">
                <c:v>2.5481741430177004E-2</c:v>
              </c:pt>
              <c:pt idx="6">
                <c:v>2.67383790154582E-2</c:v>
              </c:pt>
              <c:pt idx="7">
                <c:v>2.8050350373697477E-2</c:v>
              </c:pt>
              <c:pt idx="8">
                <c:v>2.9419990897340726E-2</c:v>
              </c:pt>
              <c:pt idx="9">
                <c:v>3.0849664799930347E-2</c:v>
              </c:pt>
              <c:pt idx="10">
                <c:v>3.2341838977158359E-2</c:v>
              </c:pt>
              <c:pt idx="11">
                <c:v>3.389908867391779E-2</c:v>
              </c:pt>
              <c:pt idx="12">
                <c:v>3.410644985316591E-2</c:v>
              </c:pt>
            </c:numLit>
          </c:yVal>
          <c:smooth val="1"/>
          <c:extLst>
            <c:ext xmlns:c16="http://schemas.microsoft.com/office/drawing/2014/chart" uri="{C3380CC4-5D6E-409C-BE32-E72D297353CC}">
              <c16:uniqueId val="{0000000F-A7BE-467A-B563-E2660BEB21C7}"/>
            </c:ext>
          </c:extLst>
        </c:ser>
        <c:ser>
          <c:idx val="11"/>
          <c:order val="11"/>
          <c:tx>
            <c:v>RH=30_1</c:v>
          </c:tx>
          <c:spPr>
            <a:ln w="3175">
              <a:solidFill>
                <a:srgbClr val="0000FF"/>
              </a:solidFill>
              <a:prstDash val="solid"/>
            </a:ln>
          </c:spPr>
          <c:marker>
            <c:symbol val="none"/>
          </c:marker>
          <c:xVal>
            <c:numLit>
              <c:formatCode>General</c:formatCode>
              <c:ptCount val="32"/>
              <c:pt idx="0">
                <c:v>-10.067582358995384</c:v>
              </c:pt>
              <c:pt idx="1">
                <c:v>-9.0728646379997553</c:v>
              </c:pt>
              <c:pt idx="2">
                <c:v>-8.0784935464462997</c:v>
              </c:pt>
              <c:pt idx="3">
                <c:v>-7.0844862576072094</c:v>
              </c:pt>
              <c:pt idx="4">
                <c:v>-6.0908603407274784</c:v>
              </c:pt>
              <c:pt idx="5">
                <c:v>-5.0976337287196367</c:v>
              </c:pt>
              <c:pt idx="6">
                <c:v>-4.1048246808465061</c:v>
              </c:pt>
              <c:pt idx="7">
                <c:v>-3.1124517400251794</c:v>
              </c:pt>
              <c:pt idx="8">
                <c:v>-2.1205336843683011</c:v>
              </c:pt>
              <c:pt idx="9">
                <c:v>-1.1290894725608227</c:v>
              </c:pt>
              <c:pt idx="10">
                <c:v>-0.13813818265185399</c:v>
              </c:pt>
              <c:pt idx="11">
                <c:v>0.85371617638427832</c:v>
              </c:pt>
              <c:pt idx="12">
                <c:v>1.8452319232025114</c:v>
              </c:pt>
              <c:pt idx="13">
                <c:v>2.8363895370533272</c:v>
              </c:pt>
              <c:pt idx="14">
                <c:v>3.827183559219153</c:v>
              </c:pt>
              <c:pt idx="15">
                <c:v>4.817609241512554</c:v>
              </c:pt>
              <c:pt idx="16">
                <c:v>5.807658783685846</c:v>
              </c:pt>
              <c:pt idx="17">
                <c:v>6.7973325313924935</c:v>
              </c:pt>
              <c:pt idx="18">
                <c:v>7.7866283429821923</c:v>
              </c:pt>
              <c:pt idx="19">
                <c:v>8.7755451347366122</c:v>
              </c:pt>
              <c:pt idx="20">
                <c:v>9.7640829799221596</c:v>
              </c:pt>
              <c:pt idx="21">
                <c:v>10.752238257786756</c:v>
              </c:pt>
              <c:pt idx="22">
                <c:v>11.740018137396278</c:v>
              </c:pt>
              <c:pt idx="23">
                <c:v>12.727426786913885</c:v>
              </c:pt>
              <c:pt idx="24">
                <c:v>13.714469981522596</c:v>
              </c:pt>
              <c:pt idx="25">
                <c:v>14.701155230312608</c:v>
              </c:pt>
              <c:pt idx="26">
                <c:v>15.687491909315344</c:v>
              </c:pt>
              <c:pt idx="27">
                <c:v>16.67349140090797</c:v>
              </c:pt>
              <c:pt idx="28">
                <c:v>17.659167239824839</c:v>
              </c:pt>
              <c:pt idx="29">
                <c:v>18.644535266026065</c:v>
              </c:pt>
              <c:pt idx="30">
                <c:v>19.629613784688861</c:v>
              </c:pt>
              <c:pt idx="31">
                <c:v>20.112202811709942</c:v>
              </c:pt>
            </c:numLit>
          </c:xVal>
          <c:yVal>
            <c:numLit>
              <c:formatCode>General</c:formatCode>
              <c:ptCount val="32"/>
              <c:pt idx="0">
                <c:v>4.8095538447478798E-4</c:v>
              </c:pt>
              <c:pt idx="1">
                <c:v>5.2546111704482746E-4</c:v>
              </c:pt>
              <c:pt idx="2">
                <c:v>5.7370319474700678E-4</c:v>
              </c:pt>
              <c:pt idx="3">
                <c:v>6.2596240354141543E-4</c:v>
              </c:pt>
              <c:pt idx="4">
                <c:v>6.8253810313502938E-4</c:v>
              </c:pt>
              <c:pt idx="5">
                <c:v>7.4374928889864127E-4</c:v>
              </c:pt>
              <c:pt idx="6">
                <c:v>8.0993570607976032E-4</c:v>
              </c:pt>
              <c:pt idx="7">
                <c:v>8.8145901874186257E-4</c:v>
              </c:pt>
              <c:pt idx="8">
                <c:v>9.5870403600972981E-4</c:v>
              </c:pt>
              <c:pt idx="9">
                <c:v>1.042079998364528E-3</c:v>
              </c:pt>
              <c:pt idx="10">
                <c:v>1.1320219269123908E-3</c:v>
              </c:pt>
              <c:pt idx="11">
                <c:v>1.2172169276874775E-3</c:v>
              </c:pt>
              <c:pt idx="12">
                <c:v>1.3079358640647994E-3</c:v>
              </c:pt>
              <c:pt idx="13">
                <c:v>1.4046093678473526E-3</c:v>
              </c:pt>
              <c:pt idx="14">
                <c:v>1.5075731826702395E-3</c:v>
              </c:pt>
              <c:pt idx="15">
                <c:v>1.6171787681858833E-3</c:v>
              </c:pt>
              <c:pt idx="16">
                <c:v>1.7338285269895967E-3</c:v>
              </c:pt>
              <c:pt idx="17">
                <c:v>1.8578774687365771E-3</c:v>
              </c:pt>
              <c:pt idx="18">
                <c:v>1.9897282810522198E-3</c:v>
              </c:pt>
              <c:pt idx="19">
                <c:v>2.1298018718635013E-3</c:v>
              </c:pt>
              <c:pt idx="20">
                <c:v>2.278538039538269E-3</c:v>
              </c:pt>
              <c:pt idx="21">
                <c:v>2.4364448941009312E-3</c:v>
              </c:pt>
              <c:pt idx="22">
                <c:v>2.6039601132949388E-3</c:v>
              </c:pt>
              <c:pt idx="23">
                <c:v>2.7815850310877644E-3</c:v>
              </c:pt>
              <c:pt idx="24">
                <c:v>2.9698428307306547E-3</c:v>
              </c:pt>
              <c:pt idx="25">
                <c:v>3.1692793411924403E-3</c:v>
              </c:pt>
              <c:pt idx="26">
                <c:v>3.3804638626748922E-3</c:v>
              </c:pt>
              <c:pt idx="27">
                <c:v>3.6039900228942794E-3</c:v>
              </c:pt>
              <c:pt idx="28">
                <c:v>3.840476665952176E-3</c:v>
              </c:pt>
              <c:pt idx="29">
                <c:v>4.0905687757696188E-3</c:v>
              </c:pt>
              <c:pt idx="30">
                <c:v>4.3549384362202544E-3</c:v>
              </c:pt>
              <c:pt idx="31">
                <c:v>4.4899026259122817E-3</c:v>
              </c:pt>
            </c:numLit>
          </c:yVal>
          <c:smooth val="1"/>
          <c:extLst>
            <c:ext xmlns:c16="http://schemas.microsoft.com/office/drawing/2014/chart" uri="{C3380CC4-5D6E-409C-BE32-E72D297353CC}">
              <c16:uniqueId val="{00000010-A7BE-467A-B563-E2660BEB21C7}"/>
            </c:ext>
          </c:extLst>
        </c:ser>
        <c:ser>
          <c:idx val="12"/>
          <c:order val="12"/>
          <c:tx>
            <c:v>RH=30_Label1</c:v>
          </c:tx>
          <c:spPr>
            <a:ln w="3175">
              <a:solidFill>
                <a:srgbClr val="0000FF"/>
              </a:solidFill>
              <a:prstDash val="solid"/>
            </a:ln>
          </c:spPr>
          <c:marker>
            <c:symbol val="none"/>
          </c:marker>
          <c:dLbls>
            <c:dLbl>
              <c:idx val="0"/>
              <c:tx>
                <c:rich>
                  <a:bodyPr rot="-15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20.673504293553936</c:v>
              </c:pt>
            </c:numLit>
          </c:xVal>
          <c:yVal>
            <c:numLit>
              <c:formatCode>General</c:formatCode>
              <c:ptCount val="1"/>
              <c:pt idx="0">
                <c:v>4.6515387384462158E-3</c:v>
              </c:pt>
            </c:numLit>
          </c:yVal>
          <c:smooth val="0"/>
          <c:extLst>
            <c:ext xmlns:c16="http://schemas.microsoft.com/office/drawing/2014/chart" uri="{C3380CC4-5D6E-409C-BE32-E72D297353CC}">
              <c16:uniqueId val="{00000012-A7BE-467A-B563-E2660BEB21C7}"/>
            </c:ext>
          </c:extLst>
        </c:ser>
        <c:ser>
          <c:idx val="13"/>
          <c:order val="13"/>
          <c:tx>
            <c:v>RH=30_2</c:v>
          </c:tx>
          <c:spPr>
            <a:ln w="3175">
              <a:solidFill>
                <a:srgbClr val="0000FF"/>
              </a:solidFill>
              <a:prstDash val="solid"/>
            </a:ln>
          </c:spPr>
          <c:marker>
            <c:symbol val="none"/>
          </c:marker>
          <c:xVal>
            <c:numLit>
              <c:formatCode>General</c:formatCode>
              <c:ptCount val="28"/>
              <c:pt idx="0">
                <c:v>21.234726670337707</c:v>
              </c:pt>
              <c:pt idx="1">
                <c:v>22.21915108625705</c:v>
              </c:pt>
              <c:pt idx="2">
                <c:v>23.20337587970176</c:v>
              </c:pt>
              <c:pt idx="3">
                <c:v>24.187433076528425</c:v>
              </c:pt>
              <c:pt idx="4">
                <c:v>25.171352404537537</c:v>
              </c:pt>
              <c:pt idx="5">
                <c:v>26.155174991132885</c:v>
              </c:pt>
              <c:pt idx="6">
                <c:v>27.138947344741538</c:v>
              </c:pt>
              <c:pt idx="7">
                <c:v>28.122716875356094</c:v>
              </c:pt>
              <c:pt idx="8">
                <c:v>29.106535433089391</c:v>
              </c:pt>
              <c:pt idx="9">
                <c:v>30.090459566540918</c:v>
              </c:pt>
              <c:pt idx="10">
                <c:v>31.074550793252318</c:v>
              </c:pt>
              <c:pt idx="11">
                <c:v>32.058875882921427</c:v>
              </c:pt>
              <c:pt idx="12">
                <c:v>33.043507154100816</c:v>
              </c:pt>
              <c:pt idx="13">
                <c:v>34.028522785169912</c:v>
              </c:pt>
              <c:pt idx="14">
                <c:v>35.014007140437592</c:v>
              </c:pt>
              <c:pt idx="15">
                <c:v>36.000051112307787</c:v>
              </c:pt>
              <c:pt idx="16">
                <c:v>36.98675248052259</c:v>
              </c:pt>
              <c:pt idx="17">
                <c:v>37.974216289587631</c:v>
              </c:pt>
              <c:pt idx="18">
                <c:v>38.962555245583552</c:v>
              </c:pt>
              <c:pt idx="19">
                <c:v>39.95188578327911</c:v>
              </c:pt>
              <c:pt idx="20">
                <c:v>40.942338829631069</c:v>
              </c:pt>
              <c:pt idx="21">
                <c:v>41.934055218596185</c:v>
              </c:pt>
              <c:pt idx="22">
                <c:v>42.927182749093461</c:v>
              </c:pt>
              <c:pt idx="23">
                <c:v>43.921879213438814</c:v>
              </c:pt>
              <c:pt idx="24">
                <c:v>44.918312943242292</c:v>
              </c:pt>
              <c:pt idx="25">
                <c:v>45.91666338687876</c:v>
              </c:pt>
              <c:pt idx="26">
                <c:v>46.917121720973476</c:v>
              </c:pt>
              <c:pt idx="27">
                <c:v>47.618805235079613</c:v>
              </c:pt>
            </c:numLit>
          </c:xVal>
          <c:yVal>
            <c:numLit>
              <c:formatCode>General</c:formatCode>
              <c:ptCount val="28"/>
              <c:pt idx="0">
                <c:v>4.8182920461159124E-3</c:v>
              </c:pt>
              <c:pt idx="1">
                <c:v>5.1236299709849099E-3</c:v>
              </c:pt>
              <c:pt idx="2">
                <c:v>5.445929040633163E-3</c:v>
              </c:pt>
              <c:pt idx="3">
                <c:v>5.7860005173922934E-3</c:v>
              </c:pt>
              <c:pt idx="4">
                <c:v>6.1447668346722162E-3</c:v>
              </c:pt>
              <c:pt idx="5">
                <c:v>6.5230875389578839E-3</c:v>
              </c:pt>
              <c:pt idx="6">
                <c:v>6.9218359323902426E-3</c:v>
              </c:pt>
              <c:pt idx="7">
                <c:v>7.3419657449303828E-3</c:v>
              </c:pt>
              <c:pt idx="8">
                <c:v>7.7844695692135405E-3</c:v>
              </c:pt>
              <c:pt idx="9">
                <c:v>8.2503804034741533E-3</c:v>
              </c:pt>
              <c:pt idx="10">
                <c:v>8.7407732735813454E-3</c:v>
              </c:pt>
              <c:pt idx="11">
                <c:v>9.256766939931332E-3</c:v>
              </c:pt>
              <c:pt idx="12">
                <c:v>9.7995256954131298E-3</c:v>
              </c:pt>
              <c:pt idx="13">
                <c:v>1.0370261261171108E-2</c:v>
              </c:pt>
              <c:pt idx="14">
                <c:v>1.0970234787438431E-2</c:v>
              </c:pt>
              <c:pt idx="15">
                <c:v>1.1600758967316551E-2</c:v>
              </c:pt>
              <c:pt idx="16">
                <c:v>1.226320027202504E-2</c:v>
              </c:pt>
              <c:pt idx="17">
                <c:v>1.2958981316857349E-2</c:v>
              </c:pt>
              <c:pt idx="18">
                <c:v>1.3689583367849131E-2</c:v>
              </c:pt>
              <c:pt idx="19">
                <c:v>1.4456641745631616E-2</c:v>
              </c:pt>
              <c:pt idx="20">
                <c:v>1.5261738551081606E-2</c:v>
              </c:pt>
              <c:pt idx="21">
                <c:v>1.6106497395618716E-2</c:v>
              </c:pt>
              <c:pt idx="22">
                <c:v>1.6992663811747931E-2</c:v>
              </c:pt>
              <c:pt idx="23">
                <c:v>1.7922057131657485E-2</c:v>
              </c:pt>
              <c:pt idx="24">
                <c:v>1.889657410745962E-2</c:v>
              </c:pt>
              <c:pt idx="25">
                <c:v>1.9918192771217105E-2</c:v>
              </c:pt>
              <c:pt idx="26">
                <c:v>2.0988976554242766E-2</c:v>
              </c:pt>
              <c:pt idx="27">
                <c:v>2.176892775891039E-2</c:v>
              </c:pt>
            </c:numLit>
          </c:yVal>
          <c:smooth val="1"/>
          <c:extLst>
            <c:ext xmlns:c16="http://schemas.microsoft.com/office/drawing/2014/chart" uri="{C3380CC4-5D6E-409C-BE32-E72D297353CC}">
              <c16:uniqueId val="{00000013-A7BE-467A-B563-E2660BEB21C7}"/>
            </c:ext>
          </c:extLst>
        </c:ser>
        <c:ser>
          <c:idx val="14"/>
          <c:order val="14"/>
          <c:tx>
            <c:v>RH=30_Label2</c:v>
          </c:tx>
          <c:spPr>
            <a:ln w="3175">
              <a:solidFill>
                <a:srgbClr val="0000FF"/>
              </a:solidFill>
              <a:prstDash val="solid"/>
            </a:ln>
          </c:spPr>
          <c:marker>
            <c:symbol val="none"/>
          </c:marker>
          <c:dLbls>
            <c:dLbl>
              <c:idx val="0"/>
              <c:tx>
                <c:rich>
                  <a:bodyPr rot="-37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47.919891498575971</c:v>
              </c:pt>
            </c:numLit>
          </c:xVal>
          <c:yVal>
            <c:numLit>
              <c:formatCode>General</c:formatCode>
              <c:ptCount val="1"/>
              <c:pt idx="0">
                <c:v>2.2111078686914126E-2</c:v>
              </c:pt>
            </c:numLit>
          </c:yVal>
          <c:smooth val="0"/>
          <c:extLst>
            <c:ext xmlns:c16="http://schemas.microsoft.com/office/drawing/2014/chart" uri="{C3380CC4-5D6E-409C-BE32-E72D297353CC}">
              <c16:uniqueId val="{00000015-A7BE-467A-B563-E2660BEB21C7}"/>
            </c:ext>
          </c:extLst>
        </c:ser>
        <c:ser>
          <c:idx val="15"/>
          <c:order val="15"/>
          <c:tx>
            <c:v>RH=30_3</c:v>
          </c:tx>
          <c:spPr>
            <a:ln w="3175">
              <a:solidFill>
                <a:srgbClr val="0000FF"/>
              </a:solidFill>
              <a:prstDash val="solid"/>
            </a:ln>
          </c:spPr>
          <c:marker>
            <c:symbol val="none"/>
          </c:marker>
          <c:xVal>
            <c:numLit>
              <c:formatCode>General</c:formatCode>
              <c:ptCount val="11"/>
              <c:pt idx="0">
                <c:v>48.221205193433356</c:v>
              </c:pt>
              <c:pt idx="1">
                <c:v>49.227305732838346</c:v>
              </c:pt>
              <c:pt idx="2">
                <c:v>50.236236673619779</c:v>
              </c:pt>
              <c:pt idx="3">
                <c:v>51.24824753013754</c:v>
              </c:pt>
              <c:pt idx="4">
                <c:v>52.263603474324846</c:v>
              </c:pt>
              <c:pt idx="5">
                <c:v>53.282586234580329</c:v>
              </c:pt>
              <c:pt idx="6">
                <c:v>54.305495055293349</c:v>
              </c:pt>
              <c:pt idx="7">
                <c:v>55.332647722295775</c:v>
              </c:pt>
              <c:pt idx="8">
                <c:v>56.364381660071885</c:v>
              </c:pt>
              <c:pt idx="9">
                <c:v>57.401055107157468</c:v>
              </c:pt>
              <c:pt idx="10">
                <c:v>56.529907865125033</c:v>
              </c:pt>
            </c:numLit>
          </c:xVal>
          <c:yVal>
            <c:numLit>
              <c:formatCode>General</c:formatCode>
              <c:ptCount val="11"/>
              <c:pt idx="0">
                <c:v>2.245804988334088E-2</c:v>
              </c:pt>
              <c:pt idx="1">
                <c:v>2.365024097411959E-2</c:v>
              </c:pt>
              <c:pt idx="2">
                <c:v>2.4899069801089625E-2</c:v>
              </c:pt>
              <c:pt idx="3">
                <c:v>2.6207021141666342E-2</c:v>
              </c:pt>
              <c:pt idx="4">
                <c:v>2.7576692286744087E-2</c:v>
              </c:pt>
              <c:pt idx="5">
                <c:v>2.9010799369813645E-2</c:v>
              </c:pt>
              <c:pt idx="6">
                <c:v>3.0512184164062938E-2</c:v>
              </c:pt>
              <c:pt idx="7">
                <c:v>3.2083821388476798E-2</c:v>
              </c:pt>
              <c:pt idx="8">
                <c:v>3.3728826568012217E-2</c:v>
              </c:pt>
              <c:pt idx="9">
                <c:v>3.5450464497447605E-2</c:v>
              </c:pt>
              <c:pt idx="10">
                <c:v>3.4000000000000002E-2</c:v>
              </c:pt>
            </c:numLit>
          </c:yVal>
          <c:smooth val="1"/>
          <c:extLst>
            <c:ext xmlns:c16="http://schemas.microsoft.com/office/drawing/2014/chart" uri="{C3380CC4-5D6E-409C-BE32-E72D297353CC}">
              <c16:uniqueId val="{00000016-A7BE-467A-B563-E2660BEB21C7}"/>
            </c:ext>
          </c:extLst>
        </c:ser>
        <c:ser>
          <c:idx val="16"/>
          <c:order val="16"/>
          <c:tx>
            <c:v>RH=40_1</c:v>
          </c:tx>
          <c:spPr>
            <a:ln w="3175">
              <a:solidFill>
                <a:srgbClr val="0000FF"/>
              </a:solidFill>
              <a:prstDash val="solid"/>
            </a:ln>
          </c:spPr>
          <c:marker>
            <c:symbol val="none"/>
          </c:marker>
          <c:xVal>
            <c:numLit>
              <c:formatCode>General</c:formatCode>
              <c:ptCount val="30"/>
              <c:pt idx="0">
                <c:v>-10.090133044237618</c:v>
              </c:pt>
              <c:pt idx="1">
                <c:v>-9.0971802172620055</c:v>
              </c:pt>
              <c:pt idx="2">
                <c:v>-8.1046902500646318</c:v>
              </c:pt>
              <c:pt idx="3">
                <c:v>-7.1126861460266371</c:v>
              </c:pt>
              <c:pt idx="4">
                <c:v>-6.1211914513253438</c:v>
              </c:pt>
              <c:pt idx="5">
                <c:v>-5.1302302137180211</c:v>
              </c:pt>
              <c:pt idx="6">
                <c:v>-4.1398269348418699</c:v>
              </c:pt>
              <c:pt idx="7">
                <c:v>-3.150006515557549</c:v>
              </c:pt>
              <c:pt idx="8">
                <c:v>-2.1607941938412729</c:v>
              </c:pt>
              <c:pt idx="9">
                <c:v>-1.172215474707184</c:v>
              </c:pt>
              <c:pt idx="10">
                <c:v>-0.18429605161724094</c:v>
              </c:pt>
              <c:pt idx="11">
                <c:v>0.80482758415682798</c:v>
              </c:pt>
              <c:pt idx="12">
                <c:v>1.7934978159863193</c:v>
              </c:pt>
              <c:pt idx="13">
                <c:v>2.7816883793038221</c:v>
              </c:pt>
              <c:pt idx="14">
                <c:v>3.7693917606435141</c:v>
              </c:pt>
              <c:pt idx="15">
                <c:v>4.7566013725261032</c:v>
              </c:pt>
              <c:pt idx="16">
                <c:v>5.7433065257400164</c:v>
              </c:pt>
              <c:pt idx="17">
                <c:v>6.7295073846782563</c:v>
              </c:pt>
              <c:pt idx="18">
                <c:v>7.7152007642144946</c:v>
              </c:pt>
              <c:pt idx="19">
                <c:v>8.7003848627146017</c:v>
              </c:pt>
              <c:pt idx="20">
                <c:v>9.6850593927211275</c:v>
              </c:pt>
              <c:pt idx="21">
                <c:v>10.669219094324642</c:v>
              </c:pt>
              <c:pt idx="22">
                <c:v>11.652873093331905</c:v>
              </c:pt>
              <c:pt idx="23">
                <c:v>12.6360264683599</c:v>
              </c:pt>
              <c:pt idx="24">
                <c:v>13.618686407382016</c:v>
              </c:pt>
              <c:pt idx="25">
                <c:v>14.600862376053614</c:v>
              </c:pt>
              <c:pt idx="26">
                <c:v>15.582566294450602</c:v>
              </c:pt>
              <c:pt idx="27">
                <c:v>16.563812722569313</c:v>
              </c:pt>
              <c:pt idx="28">
                <c:v>17.544619054959682</c:v>
              </c:pt>
              <c:pt idx="29">
                <c:v>18.015255650751499</c:v>
              </c:pt>
            </c:numLit>
          </c:xVal>
          <c:yVal>
            <c:numLit>
              <c:formatCode>General</c:formatCode>
              <c:ptCount val="30"/>
              <c:pt idx="0">
                <c:v>6.4143918012905593E-4</c:v>
              </c:pt>
              <c:pt idx="1">
                <c:v>7.008121760973331E-4</c:v>
              </c:pt>
              <c:pt idx="2">
                <c:v>7.651728535674235E-4</c:v>
              </c:pt>
              <c:pt idx="3">
                <c:v>8.3489661881570713E-4</c:v>
              </c:pt>
              <c:pt idx="4">
                <c:v>9.1038381147920844E-4</c:v>
              </c:pt>
              <c:pt idx="5">
                <c:v>9.9206114645107807E-4</c:v>
              </c:pt>
              <c:pt idx="6">
                <c:v>1.0803832292697476E-3</c:v>
              </c:pt>
              <c:pt idx="7">
                <c:v>1.1758341487524879E-3</c:v>
              </c:pt>
              <c:pt idx="8">
                <c:v>1.2789291508880532E-3</c:v>
              </c:pt>
              <c:pt idx="9">
                <c:v>1.3902163982942313E-3</c:v>
              </c:pt>
              <c:pt idx="10">
                <c:v>1.5102788198675821E-3</c:v>
              </c:pt>
              <c:pt idx="11">
                <c:v>1.6240153047000082E-3</c:v>
              </c:pt>
              <c:pt idx="12">
                <c:v>1.7451377446048627E-3</c:v>
              </c:pt>
              <c:pt idx="13">
                <c:v>1.8742233352138143E-3</c:v>
              </c:pt>
              <c:pt idx="14">
                <c:v>2.0117229343793344E-3</c:v>
              </c:pt>
              <c:pt idx="15">
                <c:v>2.1581087540872529E-3</c:v>
              </c:pt>
              <c:pt idx="16">
                <c:v>2.3139214615192092E-3</c:v>
              </c:pt>
              <c:pt idx="17">
                <c:v>2.4796388829385293E-3</c:v>
              </c:pt>
              <c:pt idx="18">
                <c:v>2.6558030330016539E-3</c:v>
              </c:pt>
              <c:pt idx="19">
                <c:v>2.8429808348341017E-3</c:v>
              </c:pt>
              <c:pt idx="20">
                <c:v>3.0417650818216663E-3</c:v>
              </c:pt>
              <c:pt idx="21">
                <c:v>3.2528405778045949E-3</c:v>
              </c:pt>
              <c:pt idx="22">
                <c:v>3.4767987665084011E-3</c:v>
              </c:pt>
              <c:pt idx="23">
                <c:v>3.7143170301272206E-3</c:v>
              </c:pt>
              <c:pt idx="24">
                <c:v>3.9661029174285749E-3</c:v>
              </c:pt>
              <c:pt idx="25">
                <c:v>4.2328953161507891E-3</c:v>
              </c:pt>
              <c:pt idx="26">
                <c:v>4.5154656750827386E-3</c:v>
              </c:pt>
              <c:pt idx="27">
                <c:v>4.8146192790791617E-3</c:v>
              </c:pt>
              <c:pt idx="28">
                <c:v>5.1311965805394127E-3</c:v>
              </c:pt>
              <c:pt idx="29">
                <c:v>5.289598667499288E-3</c:v>
              </c:pt>
            </c:numLit>
          </c:yVal>
          <c:smooth val="1"/>
          <c:extLst>
            <c:ext xmlns:c16="http://schemas.microsoft.com/office/drawing/2014/chart" uri="{C3380CC4-5D6E-409C-BE32-E72D297353CC}">
              <c16:uniqueId val="{00000017-A7BE-467A-B563-E2660BEB21C7}"/>
            </c:ext>
          </c:extLst>
        </c:ser>
        <c:ser>
          <c:idx val="17"/>
          <c:order val="17"/>
          <c:tx>
            <c:v>RH=40_Label1</c:v>
          </c:tx>
          <c:spPr>
            <a:ln w="3175">
              <a:solidFill>
                <a:srgbClr val="0000FF"/>
              </a:solidFill>
              <a:prstDash val="solid"/>
            </a:ln>
          </c:spPr>
          <c:marker>
            <c:symbol val="none"/>
          </c:marker>
          <c:dLbls>
            <c:dLbl>
              <c:idx val="0"/>
              <c:tx>
                <c:rich>
                  <a:bodyPr rot="-18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18.53480754960038</c:v>
              </c:pt>
            </c:numLit>
          </c:xVal>
          <c:yVal>
            <c:numLit>
              <c:formatCode>General</c:formatCode>
              <c:ptCount val="1"/>
              <c:pt idx="0">
                <c:v>5.4695188532680209E-3</c:v>
              </c:pt>
            </c:numLit>
          </c:yVal>
          <c:smooth val="0"/>
          <c:extLst>
            <c:ext xmlns:c16="http://schemas.microsoft.com/office/drawing/2014/chart" uri="{C3380CC4-5D6E-409C-BE32-E72D297353CC}">
              <c16:uniqueId val="{00000019-A7BE-467A-B563-E2660BEB21C7}"/>
            </c:ext>
          </c:extLst>
        </c:ser>
        <c:ser>
          <c:idx val="18"/>
          <c:order val="18"/>
          <c:tx>
            <c:v>RH=40_2</c:v>
          </c:tx>
          <c:spPr>
            <a:ln w="3175">
              <a:solidFill>
                <a:srgbClr val="0000FF"/>
              </a:solidFill>
              <a:prstDash val="solid"/>
            </a:ln>
          </c:spPr>
          <c:marker>
            <c:symbol val="none"/>
          </c:marker>
          <c:xVal>
            <c:numLit>
              <c:formatCode>General</c:formatCode>
              <c:ptCount val="26"/>
              <c:pt idx="0">
                <c:v>19.044448469805239</c:v>
              </c:pt>
              <c:pt idx="1">
                <c:v>20.024240079145535</c:v>
              </c:pt>
              <c:pt idx="2">
                <c:v>21.003678762240835</c:v>
              </c:pt>
              <c:pt idx="3">
                <c:v>21.982797462583541</c:v>
              </c:pt>
              <c:pt idx="4">
                <c:v>22.96163321910258</c:v>
              </c:pt>
              <c:pt idx="5">
                <c:v>23.940227431716167</c:v>
              </c:pt>
              <c:pt idx="6">
                <c:v>24.918619601722821</c:v>
              </c:pt>
              <c:pt idx="7">
                <c:v>25.896860753959889</c:v>
              </c:pt>
              <c:pt idx="8">
                <c:v>26.875012677652954</c:v>
              </c:pt>
              <c:pt idx="9">
                <c:v>27.853137138269812</c:v>
              </c:pt>
              <c:pt idx="10">
                <c:v>28.831301805430954</c:v>
              </c:pt>
              <c:pt idx="11">
                <c:v>29.809580609103218</c:v>
              </c:pt>
              <c:pt idx="12">
                <c:v>30.788054114168482</c:v>
              </c:pt>
              <c:pt idx="13">
                <c:v>31.766809914559072</c:v>
              </c:pt>
              <c:pt idx="14">
                <c:v>32.745943048263165</c:v>
              </c:pt>
              <c:pt idx="15">
                <c:v>33.725556434624863</c:v>
              </c:pt>
              <c:pt idx="16">
                <c:v>34.705761335499112</c:v>
              </c:pt>
              <c:pt idx="17">
                <c:v>35.686677841969804</c:v>
              </c:pt>
              <c:pt idx="18">
                <c:v>36.668435388503489</c:v>
              </c:pt>
              <c:pt idx="19">
                <c:v>37.651173296592304</c:v>
              </c:pt>
              <c:pt idx="20">
                <c:v>38.63504135013924</c:v>
              </c:pt>
              <c:pt idx="21">
                <c:v>39.620195457198655</c:v>
              </c:pt>
              <c:pt idx="22">
                <c:v>40.606808518401074</c:v>
              </c:pt>
              <c:pt idx="23">
                <c:v>41.595069868810761</c:v>
              </c:pt>
              <c:pt idx="24">
                <c:v>42.585177676992345</c:v>
              </c:pt>
              <c:pt idx="25">
                <c:v>43.170292647347217</c:v>
              </c:pt>
            </c:numLit>
          </c:xVal>
          <c:yVal>
            <c:numLit>
              <c:formatCode>General</c:formatCode>
              <c:ptCount val="26"/>
              <c:pt idx="0">
                <c:v>5.6512912640590517E-3</c:v>
              </c:pt>
              <c:pt idx="1">
                <c:v>6.0159538060022208E-3</c:v>
              </c:pt>
              <c:pt idx="2">
                <c:v>6.4013091486796996E-3</c:v>
              </c:pt>
              <c:pt idx="3">
                <c:v>6.8083754788367118E-3</c:v>
              </c:pt>
              <c:pt idx="4">
                <c:v>7.2382147244076525E-3</c:v>
              </c:pt>
              <c:pt idx="5">
                <c:v>7.6919343649579095E-3</c:v>
              </c:pt>
              <c:pt idx="6">
                <c:v>8.1707767158846062E-3</c:v>
              </c:pt>
              <c:pt idx="7">
                <c:v>8.6759520844244559E-3</c:v>
              </c:pt>
              <c:pt idx="8">
                <c:v>9.208645282612761E-3</c:v>
              </c:pt>
              <c:pt idx="9">
                <c:v>9.7701679465518245E-3</c:v>
              </c:pt>
              <c:pt idx="10">
                <c:v>1.0361888011305007E-2</c:v>
              </c:pt>
              <c:pt idx="11">
                <c:v>1.0985232215656456E-2</c:v>
              </c:pt>
              <c:pt idx="12">
                <c:v>1.1641688754542854E-2</c:v>
              </c:pt>
              <c:pt idx="13">
                <c:v>1.2332810090782168E-2</c:v>
              </c:pt>
              <c:pt idx="14">
                <c:v>1.3060215938736743E-2</c:v>
              </c:pt>
              <c:pt idx="15">
                <c:v>1.3825596433664258E-2</c:v>
              </c:pt>
              <c:pt idx="16">
                <c:v>1.4630715501725575E-2</c:v>
              </c:pt>
              <c:pt idx="17">
                <c:v>1.5477414446956942E-2</c:v>
              </c:pt>
              <c:pt idx="18">
                <c:v>1.6367615772979054E-2</c:v>
              </c:pt>
              <c:pt idx="19">
                <c:v>1.7303327258830555E-2</c:v>
              </c:pt>
              <c:pt idx="20">
                <c:v>1.8286646310083771E-2</c:v>
              </c:pt>
              <c:pt idx="21">
                <c:v>1.9319869677127031E-2</c:v>
              </c:pt>
              <c:pt idx="22">
                <c:v>2.0405293962950596E-2</c:v>
              </c:pt>
              <c:pt idx="23">
                <c:v>2.1545228453994699E-2</c:v>
              </c:pt>
              <c:pt idx="24">
                <c:v>2.2742180899399975E-2</c:v>
              </c:pt>
              <c:pt idx="25">
                <c:v>2.3476184780343811E-2</c:v>
              </c:pt>
            </c:numLit>
          </c:yVal>
          <c:smooth val="1"/>
          <c:extLst>
            <c:ext xmlns:c16="http://schemas.microsoft.com/office/drawing/2014/chart" uri="{C3380CC4-5D6E-409C-BE32-E72D297353CC}">
              <c16:uniqueId val="{0000001A-A7BE-467A-B563-E2660BEB21C7}"/>
            </c:ext>
          </c:extLst>
        </c:ser>
        <c:ser>
          <c:idx val="19"/>
          <c:order val="19"/>
          <c:tx>
            <c:v>RH=40_Label2</c:v>
          </c:tx>
          <c:spPr>
            <a:ln w="3175">
              <a:solidFill>
                <a:srgbClr val="0000FF"/>
              </a:solidFill>
              <a:prstDash val="solid"/>
            </a:ln>
          </c:spPr>
          <c:marker>
            <c:symbol val="none"/>
          </c:marker>
          <c:dLbls>
            <c:dLbl>
              <c:idx val="0"/>
              <c:tx>
                <c:rich>
                  <a:bodyPr rot="-39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43.468098102000923</c:v>
              </c:pt>
            </c:numLit>
          </c:xVal>
          <c:yVal>
            <c:numLit>
              <c:formatCode>General</c:formatCode>
              <c:ptCount val="1"/>
              <c:pt idx="0">
                <c:v>2.3857547046425495E-2</c:v>
              </c:pt>
            </c:numLit>
          </c:yVal>
          <c:smooth val="0"/>
          <c:extLst>
            <c:ext xmlns:c16="http://schemas.microsoft.com/office/drawing/2014/chart" uri="{C3380CC4-5D6E-409C-BE32-E72D297353CC}">
              <c16:uniqueId val="{0000001C-A7BE-467A-B563-E2660BEB21C7}"/>
            </c:ext>
          </c:extLst>
        </c:ser>
        <c:ser>
          <c:idx val="20"/>
          <c:order val="20"/>
          <c:tx>
            <c:v>RH=40_3</c:v>
          </c:tx>
          <c:spPr>
            <a:ln w="3175">
              <a:solidFill>
                <a:srgbClr val="0000FF"/>
              </a:solidFill>
              <a:prstDash val="solid"/>
            </a:ln>
          </c:spPr>
          <c:marker>
            <c:symbol val="none"/>
          </c:marker>
          <c:xVal>
            <c:numLit>
              <c:formatCode>General</c:formatCode>
              <c:ptCount val="9"/>
              <c:pt idx="0">
                <c:v>43.766106822167707</c:v>
              </c:pt>
              <c:pt idx="1">
                <c:v>44.761019702124855</c:v>
              </c:pt>
              <c:pt idx="2">
                <c:v>45.758508348112805</c:v>
              </c:pt>
              <c:pt idx="3">
                <c:v>46.758835066325311</c:v>
              </c:pt>
              <c:pt idx="4">
                <c:v>47.762279947515069</c:v>
              </c:pt>
              <c:pt idx="5">
                <c:v>48.769141962026701</c:v>
              </c:pt>
              <c:pt idx="6">
                <c:v>49.779740134210783</c:v>
              </c:pt>
              <c:pt idx="7">
                <c:v>50.794414803642944</c:v>
              </c:pt>
              <c:pt idx="8">
                <c:v>50.195243588117876</c:v>
              </c:pt>
            </c:numLit>
          </c:xVal>
          <c:yVal>
            <c:numLit>
              <c:formatCode>General</c:formatCode>
              <c:ptCount val="9"/>
              <c:pt idx="0">
                <c:v>2.424449573781436E-2</c:v>
              </c:pt>
              <c:pt idx="1">
                <c:v>2.5575655332400155E-2</c:v>
              </c:pt>
              <c:pt idx="2">
                <c:v>2.6972644274486847E-2</c:v>
              </c:pt>
              <c:pt idx="3">
                <c:v>2.8438505072725828E-2</c:v>
              </c:pt>
              <c:pt idx="4">
                <c:v>2.9976427867378353E-2</c:v>
              </c:pt>
              <c:pt idx="5">
                <c:v>3.1589759392127853E-2</c:v>
              </c:pt>
              <c:pt idx="6">
                <c:v>3.3282012645103484E-2</c:v>
              </c:pt>
              <c:pt idx="7">
                <c:v>3.505687733559229E-2</c:v>
              </c:pt>
              <c:pt idx="8">
                <c:v>3.4000000000000002E-2</c:v>
              </c:pt>
            </c:numLit>
          </c:yVal>
          <c:smooth val="1"/>
          <c:extLst>
            <c:ext xmlns:c16="http://schemas.microsoft.com/office/drawing/2014/chart" uri="{C3380CC4-5D6E-409C-BE32-E72D297353CC}">
              <c16:uniqueId val="{0000001D-A7BE-467A-B563-E2660BEB21C7}"/>
            </c:ext>
          </c:extLst>
        </c:ser>
        <c:ser>
          <c:idx val="21"/>
          <c:order val="21"/>
          <c:tx>
            <c:v>RH=50_1</c:v>
          </c:tx>
          <c:spPr>
            <a:ln w="3175">
              <a:solidFill>
                <a:srgbClr val="FF6600"/>
              </a:solidFill>
              <a:prstDash val="solid"/>
            </a:ln>
          </c:spPr>
          <c:marker>
            <c:symbol val="none"/>
          </c:marker>
          <c:xVal>
            <c:numLit>
              <c:formatCode>General</c:formatCode>
              <c:ptCount val="28"/>
              <c:pt idx="0">
                <c:v>-10.112695360580027</c:v>
              </c:pt>
              <c:pt idx="1">
                <c:v>-9.1215094990994849</c:v>
              </c:pt>
              <c:pt idx="2">
                <c:v>-8.1309030725077704</c:v>
              </c:pt>
              <c:pt idx="3">
                <c:v>-7.1409049674463549</c:v>
              </c:pt>
              <c:pt idx="4">
                <c:v>-6.1515447676693329</c:v>
              </c:pt>
              <c:pt idx="5">
                <c:v>-5.1628527048630035</c:v>
              </c:pt>
              <c:pt idx="6">
                <c:v>-4.1748596016133117</c:v>
              </c:pt>
              <c:pt idx="7">
                <c:v>-3.1875968059515802</c:v>
              </c:pt>
              <c:pt idx="8">
                <c:v>-2.2010961168819683</c:v>
              </c:pt>
              <c:pt idx="9">
                <c:v>-1.2153897002657661</c:v>
              </c:pt>
              <c:pt idx="10">
                <c:v>-0.23050999440768971</c:v>
              </c:pt>
              <c:pt idx="11">
                <c:v>0.75587512517940814</c:v>
              </c:pt>
              <c:pt idx="12">
                <c:v>1.7416910806178945</c:v>
              </c:pt>
              <c:pt idx="13">
                <c:v>2.7269047434380416</c:v>
              </c:pt>
              <c:pt idx="14">
                <c:v>3.7115064259646435</c:v>
              </c:pt>
              <c:pt idx="15">
                <c:v>4.6954875709347705</c:v>
              </c:pt>
              <c:pt idx="16">
                <c:v>5.6788344530962398</c:v>
              </c:pt>
              <c:pt idx="17">
                <c:v>6.6615469043035018</c:v>
              </c:pt>
              <c:pt idx="18">
                <c:v>7.6436205275679576</c:v>
              </c:pt>
              <c:pt idx="19">
                <c:v>8.6250526208009113</c:v>
              </c:pt>
              <c:pt idx="20">
                <c:v>9.6058423383434661</c:v>
              </c:pt>
              <c:pt idx="21">
                <c:v>10.585982559209654</c:v>
              </c:pt>
              <c:pt idx="22">
                <c:v>11.565484142881134</c:v>
              </c:pt>
              <c:pt idx="23">
                <c:v>12.544352831246108</c:v>
              </c:pt>
              <c:pt idx="24">
                <c:v>13.522596960001771</c:v>
              </c:pt>
              <c:pt idx="25">
                <c:v>14.500227667820957</c:v>
              </c:pt>
              <c:pt idx="26">
                <c:v>15.477259116287726</c:v>
              </c:pt>
              <c:pt idx="27">
                <c:v>16.26822714839313</c:v>
              </c:pt>
            </c:numLit>
          </c:xVal>
          <c:yVal>
            <c:numLit>
              <c:formatCode>General</c:formatCode>
              <c:ptCount val="28"/>
              <c:pt idx="0">
                <c:v>8.0200574945888238E-4</c:v>
              </c:pt>
              <c:pt idx="1">
                <c:v>8.7626205085363938E-4</c:v>
              </c:pt>
              <c:pt idx="2">
                <c:v>9.5676032361825683E-4</c:v>
              </c:pt>
              <c:pt idx="3">
                <c:v>1.0439711095229951E-3</c:v>
              </c:pt>
              <c:pt idx="4">
                <c:v>1.1383963282209435E-3</c:v>
              </c:pt>
              <c:pt idx="5">
                <c:v>1.2405711123139587E-3</c:v>
              </c:pt>
              <c:pt idx="6">
                <c:v>1.3510657390398758E-3</c:v>
              </c:pt>
              <c:pt idx="7">
                <c:v>1.4704876639184206E-3</c:v>
              </c:pt>
              <c:pt idx="8">
                <c:v>1.5994836621067371E-3</c:v>
              </c:pt>
              <c:pt idx="9">
                <c:v>1.7387420836732516E-3</c:v>
              </c:pt>
              <c:pt idx="10">
                <c:v>1.8889952295058313E-3</c:v>
              </c:pt>
              <c:pt idx="11">
                <c:v>2.0313451122375144E-3</c:v>
              </c:pt>
              <c:pt idx="12">
                <c:v>2.1829534013642305E-3</c:v>
              </c:pt>
              <c:pt idx="13">
                <c:v>2.3445453840359293E-3</c:v>
              </c:pt>
              <c:pt idx="14">
                <c:v>2.5166886531353488E-3</c:v>
              </c:pt>
              <c:pt idx="15">
                <c:v>2.6999779978813701E-3</c:v>
              </c:pt>
              <c:pt idx="16">
                <c:v>2.8950944461037949E-3</c:v>
              </c:pt>
              <c:pt idx="17">
                <c:v>3.1026409173562676E-3</c:v>
              </c:pt>
              <c:pt idx="18">
                <c:v>3.3233013465576106E-3</c:v>
              </c:pt>
              <c:pt idx="19">
                <c:v>3.5577915815344584E-3</c:v>
              </c:pt>
              <c:pt idx="20">
                <c:v>3.8068606722971615E-3</c:v>
              </c:pt>
              <c:pt idx="21">
                <c:v>4.0713738556704586E-3</c:v>
              </c:pt>
              <c:pt idx="22">
                <c:v>4.3520803689922234E-3</c:v>
              </c:pt>
              <c:pt idx="23">
                <c:v>4.6498382203937379E-3</c:v>
              </c:pt>
              <c:pt idx="24">
                <c:v>4.9655444400146668E-3</c:v>
              </c:pt>
              <c:pt idx="25">
                <c:v>5.300136687456442E-3</c:v>
              </c:pt>
              <c:pt idx="26">
                <c:v>5.654594935640289E-3</c:v>
              </c:pt>
              <c:pt idx="27">
                <c:v>5.9569705434108725E-3</c:v>
              </c:pt>
            </c:numLit>
          </c:yVal>
          <c:smooth val="1"/>
          <c:extLst>
            <c:ext xmlns:c16="http://schemas.microsoft.com/office/drawing/2014/chart" uri="{C3380CC4-5D6E-409C-BE32-E72D297353CC}">
              <c16:uniqueId val="{0000001E-A7BE-467A-B563-E2660BEB21C7}"/>
            </c:ext>
          </c:extLst>
        </c:ser>
        <c:ser>
          <c:idx val="22"/>
          <c:order val="22"/>
          <c:tx>
            <c:v>RH=50_Label1</c:v>
          </c:tx>
          <c:spPr>
            <a:ln w="3175">
              <a:solidFill>
                <a:srgbClr val="FF6600"/>
              </a:solidFill>
              <a:prstDash val="solid"/>
            </a:ln>
          </c:spPr>
          <c:marker>
            <c:symbol val="none"/>
          </c:marker>
          <c:dLbls>
            <c:dLbl>
              <c:idx val="0"/>
              <c:tx>
                <c:rich>
                  <a:bodyPr rot="-20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16.756293126108588</c:v>
              </c:pt>
            </c:numLit>
          </c:xVal>
          <c:yVal>
            <c:numLit>
              <c:formatCode>General</c:formatCode>
              <c:ptCount val="1"/>
              <c:pt idx="0">
                <c:v>6.1507089523445638E-3</c:v>
              </c:pt>
            </c:numLit>
          </c:yVal>
          <c:smooth val="0"/>
          <c:extLst>
            <c:ext xmlns:c16="http://schemas.microsoft.com/office/drawing/2014/chart" uri="{C3380CC4-5D6E-409C-BE32-E72D297353CC}">
              <c16:uniqueId val="{00000020-A7BE-467A-B563-E2660BEB21C7}"/>
            </c:ext>
          </c:extLst>
        </c:ser>
        <c:ser>
          <c:idx val="23"/>
          <c:order val="23"/>
          <c:tx>
            <c:v>RH=50_2</c:v>
          </c:tx>
          <c:spPr>
            <a:ln w="3175">
              <a:solidFill>
                <a:srgbClr val="FF6600"/>
              </a:solidFill>
              <a:prstDash val="solid"/>
            </a:ln>
          </c:spPr>
          <c:marker>
            <c:symbol val="none"/>
          </c:marker>
          <c:xVal>
            <c:numLit>
              <c:formatCode>General</c:formatCode>
              <c:ptCount val="25"/>
              <c:pt idx="0">
                <c:v>17.234463406963297</c:v>
              </c:pt>
              <c:pt idx="1">
                <c:v>18.209920906237759</c:v>
              </c:pt>
              <c:pt idx="2">
                <c:v>19.184864753899628</c:v>
              </c:pt>
              <c:pt idx="3">
                <c:v>20.159327055221958</c:v>
              </c:pt>
              <c:pt idx="4">
                <c:v>21.133344454397182</c:v>
              </c:pt>
              <c:pt idx="5">
                <c:v>22.106958443113587</c:v>
              </c:pt>
              <c:pt idx="6">
                <c:v>23.080215685035768</c:v>
              </c:pt>
              <c:pt idx="7">
                <c:v>24.053168357122342</c:v>
              </c:pt>
              <c:pt idx="8">
                <c:v>25.025861968252187</c:v>
              </c:pt>
              <c:pt idx="9">
                <c:v>25.998369193177883</c:v>
              </c:pt>
              <c:pt idx="10">
                <c:v>26.970763989438513</c:v>
              </c:pt>
              <c:pt idx="11">
                <c:v>27.943124367365144</c:v>
              </c:pt>
              <c:pt idx="12">
                <c:v>28.915535855419623</c:v>
              </c:pt>
              <c:pt idx="13">
                <c:v>29.88809196845888</c:v>
              </c:pt>
              <c:pt idx="14">
                <c:v>30.8608947024304</c:v>
              </c:pt>
              <c:pt idx="15">
                <c:v>31.834055057444299</c:v>
              </c:pt>
              <c:pt idx="16">
                <c:v>32.807693591361115</c:v>
              </c:pt>
              <c:pt idx="17">
                <c:v>33.781941006250193</c:v>
              </c:pt>
              <c:pt idx="18">
                <c:v>34.756938770312004</c:v>
              </c:pt>
              <c:pt idx="19">
                <c:v>35.732839778122681</c:v>
              </c:pt>
              <c:pt idx="20">
                <c:v>36.709809052353854</c:v>
              </c:pt>
              <c:pt idx="21">
                <c:v>37.688024490447681</c:v>
              </c:pt>
              <c:pt idx="22">
                <c:v>38.667677660091258</c:v>
              </c:pt>
              <c:pt idx="23">
                <c:v>39.648965119837186</c:v>
              </c:pt>
              <c:pt idx="24">
                <c:v>39.717722251379406</c:v>
              </c:pt>
            </c:numLit>
          </c:xVal>
          <c:yVal>
            <c:numLit>
              <c:formatCode>General</c:formatCode>
              <c:ptCount val="25"/>
              <c:pt idx="0">
                <c:v>6.3459801520872189E-3</c:v>
              </c:pt>
              <c:pt idx="1">
                <c:v>6.7616590159105252E-3</c:v>
              </c:pt>
              <c:pt idx="2">
                <c:v>7.201345919761834E-3</c:v>
              </c:pt>
              <c:pt idx="3">
                <c:v>7.6662501480482086E-3</c:v>
              </c:pt>
              <c:pt idx="4">
                <c:v>8.1576348814824777E-3</c:v>
              </c:pt>
              <c:pt idx="5">
                <c:v>8.676819571731012E-3</c:v>
              </c:pt>
              <c:pt idx="6">
                <c:v>9.2251824498550249E-3</c:v>
              </c:pt>
              <c:pt idx="7">
                <c:v>9.8041631790234604E-3</c:v>
              </c:pt>
              <c:pt idx="8">
                <c:v>1.0415434386378618E-2</c:v>
              </c:pt>
              <c:pt idx="9">
                <c:v>1.1060464555396202E-2</c:v>
              </c:pt>
              <c:pt idx="10">
                <c:v>1.1740857774937448E-2</c:v>
              </c:pt>
              <c:pt idx="11">
                <c:v>1.2458331691968276E-2</c:v>
              </c:pt>
              <c:pt idx="12">
                <c:v>1.3214681421134968E-2</c:v>
              </c:pt>
              <c:pt idx="13">
                <c:v>1.4011783353652977E-2</c:v>
              </c:pt>
              <c:pt idx="14">
                <c:v>1.4851599216421624E-2</c:v>
              </c:pt>
              <c:pt idx="15">
                <c:v>1.5736180402432867E-2</c:v>
              </c:pt>
              <c:pt idx="16">
                <c:v>1.6667672595517258E-2</c:v>
              </c:pt>
              <c:pt idx="17">
                <c:v>1.7648320714645362E-2</c:v>
              </c:pt>
              <c:pt idx="18">
                <c:v>1.868047420540702E-2</c:v>
              </c:pt>
              <c:pt idx="19">
                <c:v>1.9766592708951682E-2</c:v>
              </c:pt>
              <c:pt idx="20">
                <c:v>2.0909252141615486E-2</c:v>
              </c:pt>
              <c:pt idx="21">
                <c:v>2.2111151221727361E-2</c:v>
              </c:pt>
              <c:pt idx="22">
                <c:v>2.337511848371077E-2</c:v>
              </c:pt>
              <c:pt idx="23">
                <c:v>2.4704324318223895E-2</c:v>
              </c:pt>
              <c:pt idx="24">
                <c:v>2.4799888218089899E-2</c:v>
              </c:pt>
            </c:numLit>
          </c:yVal>
          <c:smooth val="1"/>
          <c:extLst>
            <c:ext xmlns:c16="http://schemas.microsoft.com/office/drawing/2014/chart" uri="{C3380CC4-5D6E-409C-BE32-E72D297353CC}">
              <c16:uniqueId val="{00000021-A7BE-467A-B563-E2660BEB21C7}"/>
            </c:ext>
          </c:extLst>
        </c:ser>
        <c:ser>
          <c:idx val="24"/>
          <c:order val="24"/>
          <c:tx>
            <c:v>RH=50_Label2</c:v>
          </c:tx>
          <c:spPr>
            <a:ln w="3175">
              <a:solidFill>
                <a:srgbClr val="FF6600"/>
              </a:solidFill>
              <a:prstDash val="solid"/>
            </a:ln>
          </c:spPr>
          <c:marker>
            <c:symbol val="none"/>
          </c:marker>
          <c:dLbls>
            <c:dLbl>
              <c:idx val="0"/>
              <c:tx>
                <c:rich>
                  <a:bodyPr rot="-40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40.012500980859102</c:v>
              </c:pt>
            </c:numLit>
          </c:xVal>
          <c:yVal>
            <c:numLit>
              <c:formatCode>General</c:formatCode>
              <c:ptCount val="1"/>
              <c:pt idx="0">
                <c:v>2.5213256883490354E-2</c:v>
              </c:pt>
            </c:numLit>
          </c:yVal>
          <c:smooth val="0"/>
          <c:extLst>
            <c:ext xmlns:c16="http://schemas.microsoft.com/office/drawing/2014/chart" uri="{C3380CC4-5D6E-409C-BE32-E72D297353CC}">
              <c16:uniqueId val="{00000023-A7BE-467A-B563-E2660BEB21C7}"/>
            </c:ext>
          </c:extLst>
        </c:ser>
        <c:ser>
          <c:idx val="25"/>
          <c:order val="25"/>
          <c:tx>
            <c:v>RH=50_3</c:v>
          </c:tx>
          <c:spPr>
            <a:ln w="3175">
              <a:solidFill>
                <a:srgbClr val="FF6600"/>
              </a:solidFill>
              <a:prstDash val="solid"/>
            </a:ln>
          </c:spPr>
          <c:marker>
            <c:symbol val="none"/>
          </c:marker>
          <c:xVal>
            <c:numLit>
              <c:formatCode>General</c:formatCode>
              <c:ptCount val="8"/>
              <c:pt idx="0">
                <c:v>40.307455186562997</c:v>
              </c:pt>
              <c:pt idx="1">
                <c:v>41.291986812655587</c:v>
              </c:pt>
              <c:pt idx="2">
                <c:v>42.278790457439001</c:v>
              </c:pt>
              <c:pt idx="3">
                <c:v>43.268133833665452</c:v>
              </c:pt>
              <c:pt idx="4">
                <c:v>44.26030400340877</c:v>
              </c:pt>
              <c:pt idx="5">
                <c:v>45.255608634202062</c:v>
              </c:pt>
              <c:pt idx="6">
                <c:v>46.254377351242084</c:v>
              </c:pt>
              <c:pt idx="7">
                <c:v>45.455074300206384</c:v>
              </c:pt>
            </c:numLit>
          </c:xVal>
          <c:yVal>
            <c:numLit>
              <c:formatCode>General</c:formatCode>
              <c:ptCount val="8"/>
              <c:pt idx="0">
                <c:v>2.563286741969734E-2</c:v>
              </c:pt>
              <c:pt idx="1">
                <c:v>2.7077792853517604E-2</c:v>
              </c:pt>
              <c:pt idx="2">
                <c:v>2.8596442492837857E-2</c:v>
              </c:pt>
              <c:pt idx="3">
                <c:v>3.019236382673204E-2</c:v>
              </c:pt>
              <c:pt idx="4">
                <c:v>3.1869285770385232E-2</c:v>
              </c:pt>
              <c:pt idx="5">
                <c:v>3.3631130325904007E-2</c:v>
              </c:pt>
              <c:pt idx="6">
                <c:v>3.5482025214864182E-2</c:v>
              </c:pt>
              <c:pt idx="7">
                <c:v>3.4000000000000002E-2</c:v>
              </c:pt>
            </c:numLit>
          </c:yVal>
          <c:smooth val="1"/>
          <c:extLst>
            <c:ext xmlns:c16="http://schemas.microsoft.com/office/drawing/2014/chart" uri="{C3380CC4-5D6E-409C-BE32-E72D297353CC}">
              <c16:uniqueId val="{00000024-A7BE-467A-B563-E2660BEB21C7}"/>
            </c:ext>
          </c:extLst>
        </c:ser>
        <c:ser>
          <c:idx val="26"/>
          <c:order val="26"/>
          <c:tx>
            <c:v>RH=60_1</c:v>
          </c:tx>
          <c:spPr>
            <a:ln w="3175">
              <a:solidFill>
                <a:srgbClr val="0000FF"/>
              </a:solidFill>
              <a:prstDash val="solid"/>
            </a:ln>
          </c:spPr>
          <c:marker>
            <c:symbol val="none"/>
          </c:marker>
          <c:xVal>
            <c:numLit>
              <c:formatCode>General</c:formatCode>
              <c:ptCount val="27"/>
              <c:pt idx="0">
                <c:v>-10.135269317023496</c:v>
              </c:pt>
              <c:pt idx="1">
                <c:v>-9.1458524950981932</c:v>
              </c:pt>
              <c:pt idx="2">
                <c:v>-8.1571320286571556</c:v>
              </c:pt>
              <c:pt idx="3">
                <c:v>-7.1691427409397823</c:v>
              </c:pt>
              <c:pt idx="4">
                <c:v>-6.1819203141539898</c:v>
              </c:pt>
              <c:pt idx="5">
                <c:v>-5.1955012332893613</c:v>
              </c:pt>
              <c:pt idx="6">
                <c:v>-4.209922720815662</c:v>
              </c:pt>
              <c:pt idx="7">
                <c:v>-3.2252226616097359</c:v>
              </c:pt>
              <c:pt idx="8">
                <c:v>-2.2414395174227417</c:v>
              </c:pt>
              <c:pt idx="9">
                <c:v>-1.2586122301668061</c:v>
              </c:pt>
              <c:pt idx="10">
                <c:v>-0.27678011326529767</c:v>
              </c:pt>
              <c:pt idx="11">
                <c:v>0.70685867421949589</c:v>
              </c:pt>
              <c:pt idx="12">
                <c:v>1.6898115640486782</c:v>
              </c:pt>
              <c:pt idx="13">
                <c:v>2.6720384427751456</c:v>
              </c:pt>
              <c:pt idx="14">
                <c:v>3.653527327916164</c:v>
              </c:pt>
              <c:pt idx="15">
                <c:v>4.634267560590545</c:v>
              </c:pt>
              <c:pt idx="16">
                <c:v>5.6142422308259805</c:v>
              </c:pt>
              <c:pt idx="17">
                <c:v>6.5934506848104197</c:v>
              </c:pt>
              <c:pt idx="18">
                <c:v>7.57188714311925</c:v>
              </c:pt>
              <c:pt idx="19">
                <c:v>8.549547818107941</c:v>
              </c:pt>
              <c:pt idx="20">
                <c:v>9.5264311054429083</c:v>
              </c:pt>
              <c:pt idx="21">
                <c:v>10.502527797596237</c:v>
              </c:pt>
              <c:pt idx="22">
                <c:v>11.477850260620864</c:v>
              </c:pt>
              <c:pt idx="23">
                <c:v>12.452404647761208</c:v>
              </c:pt>
              <c:pt idx="24">
                <c:v>13.426200171885023</c:v>
              </c:pt>
              <c:pt idx="25">
                <c:v>14.399249354787282</c:v>
              </c:pt>
              <c:pt idx="26">
                <c:v>14.778539591753145</c:v>
              </c:pt>
            </c:numLit>
          </c:xVal>
          <c:yVal>
            <c:numLit>
              <c:formatCode>General</c:formatCode>
              <c:ptCount val="27"/>
              <c:pt idx="0">
                <c:v>9.6265515651978821E-4</c:v>
              </c:pt>
              <c:pt idx="1">
                <c:v>1.0518108248658113E-3</c:v>
              </c:pt>
              <c:pt idx="2">
                <c:v>1.1484657136667973E-3</c:v>
              </c:pt>
              <c:pt idx="3">
                <c:v>1.253186016979086E-3</c:v>
              </c:pt>
              <c:pt idx="4">
                <c:v>1.3665758366107619E-3</c:v>
              </c:pt>
              <c:pt idx="5">
                <c:v>1.4892794236642264E-3</c:v>
              </c:pt>
              <c:pt idx="6">
                <c:v>1.6219835417861427E-3</c:v>
              </c:pt>
              <c:pt idx="7">
                <c:v>1.7654199593220663E-3</c:v>
              </c:pt>
              <c:pt idx="8">
                <c:v>1.9203680781726613E-3</c:v>
              </c:pt>
              <c:pt idx="9">
                <c:v>2.087657707814211E-3</c:v>
              </c:pt>
              <c:pt idx="10">
                <c:v>2.2681719936859684E-3</c:v>
              </c:pt>
              <c:pt idx="11">
                <c:v>2.4392073923505966E-3</c:v>
              </c:pt>
              <c:pt idx="12">
                <c:v>2.6213841277472243E-3</c:v>
              </c:pt>
              <c:pt idx="13">
                <c:v>2.815577116984156E-3</c:v>
              </c:pt>
              <c:pt idx="14">
                <c:v>3.0224723215083122E-3</c:v>
              </c:pt>
              <c:pt idx="15">
                <c:v>3.2427889480513973E-3</c:v>
              </c:pt>
              <c:pt idx="16">
                <c:v>3.4773504999020071E-3</c:v>
              </c:pt>
              <c:pt idx="17">
                <c:v>3.7268872888711327E-3</c:v>
              </c:pt>
              <c:pt idx="18">
                <c:v>3.9922277903414322E-3</c:v>
              </c:pt>
              <c:pt idx="19">
                <c:v>4.2742397187644924E-3</c:v>
              </c:pt>
              <c:pt idx="20">
                <c:v>4.5738316813021601E-3</c:v>
              </c:pt>
              <c:pt idx="21">
                <c:v>4.8920531340976188E-3</c:v>
              </c:pt>
              <c:pt idx="22">
                <c:v>5.2298151913123467E-3</c:v>
              </c:pt>
              <c:pt idx="23">
                <c:v>5.5881611315908462E-3</c:v>
              </c:pt>
              <c:pt idx="24">
                <c:v>5.968182662155372E-3</c:v>
              </c:pt>
              <c:pt idx="25">
                <c:v>6.3710220228125171E-3</c:v>
              </c:pt>
              <c:pt idx="26">
                <c:v>6.5345703991554396E-3</c:v>
              </c:pt>
            </c:numLit>
          </c:yVal>
          <c:smooth val="1"/>
          <c:extLst>
            <c:ext xmlns:c16="http://schemas.microsoft.com/office/drawing/2014/chart" uri="{C3380CC4-5D6E-409C-BE32-E72D297353CC}">
              <c16:uniqueId val="{00000025-A7BE-467A-B563-E2660BEB21C7}"/>
            </c:ext>
          </c:extLst>
        </c:ser>
        <c:ser>
          <c:idx val="27"/>
          <c:order val="27"/>
          <c:tx>
            <c:v>RH=60_Label1</c:v>
          </c:tx>
          <c:spPr>
            <a:ln w="3175">
              <a:solidFill>
                <a:srgbClr val="0000FF"/>
              </a:solidFill>
              <a:prstDash val="solid"/>
            </a:ln>
          </c:spPr>
          <c:marker>
            <c:symbol val="none"/>
          </c:marker>
          <c:dLbls>
            <c:dLbl>
              <c:idx val="0"/>
              <c:tx>
                <c:rich>
                  <a:bodyPr rot="-22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15.235486898126986</c:v>
              </c:pt>
            </c:numLit>
          </c:xVal>
          <c:yVal>
            <c:numLit>
              <c:formatCode>General</c:formatCode>
              <c:ptCount val="1"/>
              <c:pt idx="0">
                <c:v>6.736623266512377E-3</c:v>
              </c:pt>
            </c:numLit>
          </c:yVal>
          <c:smooth val="0"/>
          <c:extLst>
            <c:ext xmlns:c16="http://schemas.microsoft.com/office/drawing/2014/chart" uri="{C3380CC4-5D6E-409C-BE32-E72D297353CC}">
              <c16:uniqueId val="{00000027-A7BE-467A-B563-E2660BEB21C7}"/>
            </c:ext>
          </c:extLst>
        </c:ser>
        <c:ser>
          <c:idx val="28"/>
          <c:order val="28"/>
          <c:tx>
            <c:v>RH=60_2</c:v>
          </c:tx>
          <c:spPr>
            <a:ln w="3175">
              <a:solidFill>
                <a:srgbClr val="0000FF"/>
              </a:solidFill>
              <a:prstDash val="solid"/>
            </a:ln>
          </c:spPr>
          <c:marker>
            <c:symbol val="none"/>
          </c:marker>
          <c:xVal>
            <c:numLit>
              <c:formatCode>General</c:formatCode>
              <c:ptCount val="23"/>
              <c:pt idx="0">
                <c:v>15.692276568731597</c:v>
              </c:pt>
              <c:pt idx="1">
                <c:v>16.663655868262545</c:v>
              </c:pt>
              <c:pt idx="2">
                <c:v>17.634357846997204</c:v>
              </c:pt>
              <c:pt idx="3">
                <c:v>18.604412566728421</c:v>
              </c:pt>
              <c:pt idx="4">
                <c:v>19.57385496712628</c:v>
              </c:pt>
              <c:pt idx="5">
                <c:v>20.542725211376812</c:v>
              </c:pt>
              <c:pt idx="6">
                <c:v>21.511069050369343</c:v>
              </c:pt>
              <c:pt idx="7">
                <c:v>22.478938206583496</c:v>
              </c:pt>
              <c:pt idx="8">
                <c:v>23.446390778937609</c:v>
              </c:pt>
              <c:pt idx="9">
                <c:v>24.4134855283266</c:v>
              </c:pt>
              <c:pt idx="10">
                <c:v>25.380287357930822</c:v>
              </c:pt>
              <c:pt idx="11">
                <c:v>26.346888142830917</c:v>
              </c:pt>
              <c:pt idx="12">
                <c:v>27.313375991174858</c:v>
              </c:pt>
              <c:pt idx="13">
                <c:v>28.279847786850659</c:v>
              </c:pt>
              <c:pt idx="14">
                <c:v>29.246409755470037</c:v>
              </c:pt>
              <c:pt idx="15">
                <c:v>30.213178064553052</c:v>
              </c:pt>
              <c:pt idx="16">
                <c:v>31.180279460647924</c:v>
              </c:pt>
              <c:pt idx="17">
                <c:v>32.147851946407854</c:v>
              </c:pt>
              <c:pt idx="18">
                <c:v>33.116045500967495</c:v>
              </c:pt>
              <c:pt idx="19">
                <c:v>34.085022847319472</c:v>
              </c:pt>
              <c:pt idx="20">
                <c:v>35.054960270790538</c:v>
              </c:pt>
              <c:pt idx="21">
                <c:v>36.026048493163373</c:v>
              </c:pt>
              <c:pt idx="22">
                <c:v>36.901181828731445</c:v>
              </c:pt>
            </c:numLit>
          </c:xVal>
          <c:yVal>
            <c:numLit>
              <c:formatCode>General</c:formatCode>
              <c:ptCount val="23"/>
              <c:pt idx="0">
                <c:v>6.9442164723304209E-3</c:v>
              </c:pt>
              <c:pt idx="1">
                <c:v>7.4049523400725346E-3</c:v>
              </c:pt>
              <c:pt idx="2">
                <c:v>7.8927032614548986E-3</c:v>
              </c:pt>
              <c:pt idx="3">
                <c:v>8.4088574073189169E-3</c:v>
              </c:pt>
              <c:pt idx="4">
                <c:v>8.9548667635628559E-3</c:v>
              </c:pt>
              <c:pt idx="5">
                <c:v>9.5322500891234421E-3</c:v>
              </c:pt>
              <c:pt idx="6">
                <c:v>1.0142596050639335E-2</c:v>
              </c:pt>
              <c:pt idx="7">
                <c:v>1.0787566548190554E-2</c:v>
              </c:pt>
              <c:pt idx="8">
                <c:v>1.1468900247835185E-2</c:v>
              </c:pt>
              <c:pt idx="9">
                <c:v>1.2188498014486378E-2</c:v>
              </c:pt>
              <c:pt idx="10">
                <c:v>1.2948368636975393E-2</c:v>
              </c:pt>
              <c:pt idx="11">
                <c:v>1.3750351447902053E-2</c:v>
              </c:pt>
              <c:pt idx="12">
                <c:v>1.4596535174992941E-2</c:v>
              </c:pt>
              <c:pt idx="13">
                <c:v>1.5489106949635579E-2</c:v>
              </c:pt>
              <c:pt idx="14">
                <c:v>1.643035751854879E-2</c:v>
              </c:pt>
              <c:pt idx="15">
                <c:v>1.7422686823841828E-2</c:v>
              </c:pt>
              <c:pt idx="16">
                <c:v>1.8468609984130968E-2</c:v>
              </c:pt>
              <c:pt idx="17">
                <c:v>1.9570763712618129E-2</c:v>
              </c:pt>
              <c:pt idx="18">
                <c:v>2.0731913211626124E-2</c:v>
              </c:pt>
              <c:pt idx="19">
                <c:v>2.1954959587082205E-2</c:v>
              </c:pt>
              <c:pt idx="20">
                <c:v>2.3242947830883764E-2</c:v>
              </c:pt>
              <c:pt idx="21">
                <c:v>2.4599075424043933E-2</c:v>
              </c:pt>
              <c:pt idx="22">
                <c:v>2.5880622321917731E-2</c:v>
              </c:pt>
            </c:numLit>
          </c:yVal>
          <c:smooth val="1"/>
          <c:extLst>
            <c:ext xmlns:c16="http://schemas.microsoft.com/office/drawing/2014/chart" uri="{C3380CC4-5D6E-409C-BE32-E72D297353CC}">
              <c16:uniqueId val="{00000028-A7BE-467A-B563-E2660BEB21C7}"/>
            </c:ext>
          </c:extLst>
        </c:ser>
        <c:ser>
          <c:idx val="29"/>
          <c:order val="29"/>
          <c:tx>
            <c:v>RH=60_Label2</c:v>
          </c:tx>
          <c:spPr>
            <a:ln w="3175">
              <a:solidFill>
                <a:srgbClr val="0000FF"/>
              </a:solidFill>
              <a:prstDash val="solid"/>
            </a:ln>
          </c:spPr>
          <c:marker>
            <c:symbol val="none"/>
          </c:marker>
          <c:dLbls>
            <c:dLbl>
              <c:idx val="0"/>
              <c:tx>
                <c:rich>
                  <a:bodyPr rot="-41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37.193164734357119</c:v>
              </c:pt>
            </c:numLit>
          </c:xVal>
          <c:yVal>
            <c:numLit>
              <c:formatCode>General</c:formatCode>
              <c:ptCount val="1"/>
              <c:pt idx="0">
                <c:v>2.6321114279834835E-2</c:v>
              </c:pt>
            </c:numLit>
          </c:yVal>
          <c:smooth val="0"/>
          <c:extLst>
            <c:ext xmlns:c16="http://schemas.microsoft.com/office/drawing/2014/chart" uri="{C3380CC4-5D6E-409C-BE32-E72D297353CC}">
              <c16:uniqueId val="{0000002A-A7BE-467A-B563-E2660BEB21C7}"/>
            </c:ext>
          </c:extLst>
        </c:ser>
        <c:ser>
          <c:idx val="30"/>
          <c:order val="30"/>
          <c:tx>
            <c:v>RH=60_3</c:v>
          </c:tx>
          <c:spPr>
            <a:ln w="3175">
              <a:solidFill>
                <a:srgbClr val="0000FF"/>
              </a:solidFill>
              <a:prstDash val="solid"/>
            </a:ln>
          </c:spPr>
          <c:marker>
            <c:symbol val="none"/>
          </c:marker>
          <c:xVal>
            <c:numLit>
              <c:formatCode>General</c:formatCode>
              <c:ptCount val="7"/>
              <c:pt idx="0">
                <c:v>37.485293851201547</c:v>
              </c:pt>
              <c:pt idx="1">
                <c:v>38.460196833945552</c:v>
              </c:pt>
              <c:pt idx="2">
                <c:v>39.437033880876257</c:v>
              </c:pt>
              <c:pt idx="3">
                <c:v>40.416082381733801</c:v>
              </c:pt>
              <c:pt idx="4">
                <c:v>41.397633592560211</c:v>
              </c:pt>
              <c:pt idx="5">
                <c:v>42.381998241872026</c:v>
              </c:pt>
              <c:pt idx="6">
                <c:v>41.692632840004109</c:v>
              </c:pt>
            </c:numLit>
          </c:xVal>
          <c:yVal>
            <c:numLit>
              <c:formatCode>General</c:formatCode>
              <c:ptCount val="7"/>
              <c:pt idx="0">
                <c:v>2.6768423144028365E-2</c:v>
              </c:pt>
              <c:pt idx="1">
                <c:v>2.8309974588212959E-2</c:v>
              </c:pt>
              <c:pt idx="2">
                <c:v>2.9932457479216211E-2</c:v>
              </c:pt>
              <c:pt idx="3">
                <c:v>3.163970985038312E-2</c:v>
              </c:pt>
              <c:pt idx="4">
                <c:v>3.3435908638915227E-2</c:v>
              </c:pt>
              <c:pt idx="5">
                <c:v>3.5325509350443172E-2</c:v>
              </c:pt>
              <c:pt idx="6">
                <c:v>3.4000000000000002E-2</c:v>
              </c:pt>
            </c:numLit>
          </c:yVal>
          <c:smooth val="1"/>
          <c:extLst>
            <c:ext xmlns:c16="http://schemas.microsoft.com/office/drawing/2014/chart" uri="{C3380CC4-5D6E-409C-BE32-E72D297353CC}">
              <c16:uniqueId val="{0000002B-A7BE-467A-B563-E2660BEB21C7}"/>
            </c:ext>
          </c:extLst>
        </c:ser>
        <c:ser>
          <c:idx val="31"/>
          <c:order val="31"/>
          <c:tx>
            <c:v>RH=70_1</c:v>
          </c:tx>
          <c:spPr>
            <a:ln w="3175">
              <a:solidFill>
                <a:srgbClr val="0000FF"/>
              </a:solidFill>
              <a:prstDash val="solid"/>
            </a:ln>
          </c:spPr>
          <c:marker>
            <c:symbol val="none"/>
          </c:marker>
          <c:xVal>
            <c:numLit>
              <c:formatCode>General</c:formatCode>
              <c:ptCount val="26"/>
              <c:pt idx="0">
                <c:v>-10.157854922578196</c:v>
              </c:pt>
              <c:pt idx="1">
                <c:v>-9.1702092168571863</c:v>
              </c:pt>
              <c:pt idx="2">
                <c:v>-8.1833771334125522</c:v>
              </c:pt>
              <c:pt idx="3">
                <c:v>-7.1973994856059686</c:v>
              </c:pt>
              <c:pt idx="4">
                <c:v>-6.2123181152096016</c:v>
              </c:pt>
              <c:pt idx="5">
                <c:v>-5.2281758301815939</c:v>
              </c:pt>
              <c:pt idx="6">
                <c:v>-4.2450163321727192</c:v>
              </c:pt>
              <c:pt idx="7">
                <c:v>-3.2628841330298943</c:v>
              </c:pt>
              <c:pt idx="8">
                <c:v>-2.2818244595276118</c:v>
              </c:pt>
              <c:pt idx="9">
                <c:v>-1.3018831455217366</c:v>
              </c:pt>
              <c:pt idx="10">
                <c:v>-0.32310651068087748</c:v>
              </c:pt>
              <c:pt idx="11">
                <c:v>0.65777810571694018</c:v>
              </c:pt>
              <c:pt idx="12">
                <c:v>1.6378591127997855</c:v>
              </c:pt>
              <c:pt idx="13">
                <c:v>2.617089290070493</c:v>
              </c:pt>
              <c:pt idx="14">
                <c:v>3.5954542384948436</c:v>
              </c:pt>
              <c:pt idx="15">
                <c:v>4.5729410643847519</c:v>
              </c:pt>
              <c:pt idx="16">
                <c:v>5.5495295227512003</c:v>
              </c:pt>
              <c:pt idx="17">
                <c:v>6.525218319119916</c:v>
              </c:pt>
              <c:pt idx="18">
                <c:v>7.5000001188463923</c:v>
              </c:pt>
              <c:pt idx="19">
                <c:v>8.4738698610379348</c:v>
              </c:pt>
              <c:pt idx="20">
                <c:v>9.4468249791815779</c:v>
              </c:pt>
              <c:pt idx="21">
                <c:v>10.418853950150545</c:v>
              </c:pt>
              <c:pt idx="22">
                <c:v>11.389970415371854</c:v>
              </c:pt>
              <c:pt idx="23">
                <c:v>12.360180682728704</c:v>
              </c:pt>
              <c:pt idx="24">
                <c:v>13.329494566132361</c:v>
              </c:pt>
              <c:pt idx="25">
                <c:v>13.455440196087446</c:v>
              </c:pt>
            </c:numLit>
          </c:xVal>
          <c:yVal>
            <c:numLit>
              <c:formatCode>General</c:formatCode>
              <c:ptCount val="26"/>
              <c:pt idx="0">
                <c:v>1.1233874654334045E-3</c:v>
              </c:pt>
              <c:pt idx="1">
                <c:v>1.2274585817801354E-3</c:v>
              </c:pt>
              <c:pt idx="2">
                <c:v>1.3402891326142665E-3</c:v>
              </c:pt>
              <c:pt idx="3">
                <c:v>1.4625414826896688E-3</c:v>
              </c:pt>
              <c:pt idx="4">
                <c:v>1.5949225201677061E-3</c:v>
              </c:pt>
              <c:pt idx="5">
                <c:v>1.7381863180575758E-3</c:v>
              </c:pt>
              <c:pt idx="6">
                <c:v>1.8931369444374524E-3</c:v>
              </c:pt>
              <c:pt idx="7">
                <c:v>2.0606314307937824E-3</c:v>
              </c:pt>
              <c:pt idx="8">
                <c:v>2.2415829086399218E-3</c:v>
              </c:pt>
              <c:pt idx="9">
                <c:v>2.436963925492433E-3</c:v>
              </c:pt>
              <c:pt idx="10">
                <c:v>2.6478099523050075E-3</c:v>
              </c:pt>
              <c:pt idx="11">
                <c:v>2.8476031898160307E-3</c:v>
              </c:pt>
              <c:pt idx="12">
                <c:v>3.0604312207948227E-3</c:v>
              </c:pt>
              <c:pt idx="13">
                <c:v>3.2873201415692466E-3</c:v>
              </c:pt>
              <c:pt idx="14">
                <c:v>3.5290759284962439E-3</c:v>
              </c:pt>
              <c:pt idx="15">
                <c:v>3.7865440615982605E-3</c:v>
              </c:pt>
              <c:pt idx="16">
                <c:v>4.0606926533359542E-3</c:v>
              </c:pt>
              <c:pt idx="17">
                <c:v>4.3523817292269416E-3</c:v>
              </c:pt>
              <c:pt idx="18">
                <c:v>4.662586952544772E-3</c:v>
              </c:pt>
              <c:pt idx="19">
                <c:v>4.9923308790401572E-3</c:v>
              </c:pt>
              <c:pt idx="20">
                <c:v>5.3426850128968318E-3</c:v>
              </c:pt>
              <c:pt idx="21">
                <c:v>5.7148868636222108E-3</c:v>
              </c:pt>
              <c:pt idx="22">
                <c:v>6.110013561687732E-3</c:v>
              </c:pt>
              <c:pt idx="23">
                <c:v>6.529298368583126E-3</c:v>
              </c:pt>
              <c:pt idx="24">
                <c:v>6.9740329453147794E-3</c:v>
              </c:pt>
              <c:pt idx="25">
                <c:v>7.0337875575625384E-3</c:v>
              </c:pt>
            </c:numLit>
          </c:yVal>
          <c:smooth val="1"/>
          <c:extLst>
            <c:ext xmlns:c16="http://schemas.microsoft.com/office/drawing/2014/chart" uri="{C3380CC4-5D6E-409C-BE32-E72D297353CC}">
              <c16:uniqueId val="{0000002C-A7BE-467A-B563-E2660BEB21C7}"/>
            </c:ext>
          </c:extLst>
        </c:ser>
        <c:ser>
          <c:idx val="32"/>
          <c:order val="32"/>
          <c:tx>
            <c:v>RH=70_Label1</c:v>
          </c:tx>
          <c:spPr>
            <a:ln w="3175">
              <a:solidFill>
                <a:srgbClr val="0000FF"/>
              </a:solidFill>
              <a:prstDash val="solid"/>
            </a:ln>
          </c:spPr>
          <c:marker>
            <c:symbol val="none"/>
          </c:marker>
          <c:dLbls>
            <c:dLbl>
              <c:idx val="0"/>
              <c:tx>
                <c:rich>
                  <a:bodyPr rot="-24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13.90097465272793</c:v>
              </c:pt>
            </c:numLit>
          </c:xVal>
          <c:yVal>
            <c:numLit>
              <c:formatCode>General</c:formatCode>
              <c:ptCount val="1"/>
              <c:pt idx="0">
                <c:v>7.248908724043295E-3</c:v>
              </c:pt>
            </c:numLit>
          </c:yVal>
          <c:smooth val="0"/>
          <c:extLst>
            <c:ext xmlns:c16="http://schemas.microsoft.com/office/drawing/2014/chart" uri="{C3380CC4-5D6E-409C-BE32-E72D297353CC}">
              <c16:uniqueId val="{0000002E-A7BE-467A-B563-E2660BEB21C7}"/>
            </c:ext>
          </c:extLst>
        </c:ser>
        <c:ser>
          <c:idx val="33"/>
          <c:order val="33"/>
          <c:tx>
            <c:v>RH=70_2</c:v>
          </c:tx>
          <c:spPr>
            <a:ln w="3175">
              <a:solidFill>
                <a:srgbClr val="0000FF"/>
              </a:solidFill>
              <a:prstDash val="solid"/>
            </a:ln>
          </c:spPr>
          <c:marker>
            <c:symbol val="none"/>
          </c:marker>
          <c:xVal>
            <c:numLit>
              <c:formatCode>General</c:formatCode>
              <c:ptCount val="22"/>
              <c:pt idx="0">
                <c:v>14.336644792631972</c:v>
              </c:pt>
              <c:pt idx="1">
                <c:v>15.304176659800127</c:v>
              </c:pt>
              <c:pt idx="2">
                <c:v>16.270866568289204</c:v>
              </c:pt>
              <c:pt idx="3">
                <c:v>17.236741601374387</c:v>
              </c:pt>
              <c:pt idx="4">
                <c:v>18.201833972146769</c:v>
              </c:pt>
              <c:pt idx="5">
                <c:v>19.16618140086484</c:v>
              </c:pt>
              <c:pt idx="6">
                <c:v>20.129827513231067</c:v>
              </c:pt>
              <c:pt idx="7">
                <c:v>21.092822260950232</c:v>
              </c:pt>
              <c:pt idx="8">
                <c:v>22.055222366062157</c:v>
              </c:pt>
              <c:pt idx="9">
                <c:v>23.017091790691847</c:v>
              </c:pt>
              <c:pt idx="10">
                <c:v>23.978501369325919</c:v>
              </c:pt>
              <c:pt idx="11">
                <c:v>24.9395103191831</c:v>
              </c:pt>
              <c:pt idx="12">
                <c:v>25.900227365208519</c:v>
              </c:pt>
              <c:pt idx="13">
                <c:v>26.860750678756201</c:v>
              </c:pt>
              <c:pt idx="14">
                <c:v>27.821188479334118</c:v>
              </c:pt>
              <c:pt idx="15">
                <c:v>28.781659703346943</c:v>
              </c:pt>
              <c:pt idx="16">
                <c:v>29.742294715829637</c:v>
              </c:pt>
              <c:pt idx="17">
                <c:v>30.703236068861713</c:v>
              </c:pt>
              <c:pt idx="18">
                <c:v>31.664639310758986</c:v>
              </c:pt>
              <c:pt idx="19">
                <c:v>32.626673850596248</c:v>
              </c:pt>
              <c:pt idx="20">
                <c:v>33.589523883124926</c:v>
              </c:pt>
              <c:pt idx="21">
                <c:v>34.524456611360264</c:v>
              </c:pt>
            </c:numLit>
          </c:xVal>
          <c:yVal>
            <c:numLit>
              <c:formatCode>General</c:formatCode>
              <c:ptCount val="22"/>
              <c:pt idx="0">
                <c:v>7.4650088052640581E-3</c:v>
              </c:pt>
              <c:pt idx="1">
                <c:v>7.9659241397534303E-3</c:v>
              </c:pt>
              <c:pt idx="2">
                <c:v>8.4966028039244381E-3</c:v>
              </c:pt>
              <c:pt idx="3">
                <c:v>9.058601130616949E-3</c:v>
              </c:pt>
              <c:pt idx="4">
                <c:v>9.6535489368709364E-3</c:v>
              </c:pt>
              <c:pt idx="5">
                <c:v>1.0283153077594011E-2</c:v>
              </c:pt>
              <c:pt idx="6">
                <c:v>1.0949201221749659E-2</c:v>
              </c:pt>
              <c:pt idx="7">
                <c:v>1.1653565869804223E-2</c:v>
              </c:pt>
              <c:pt idx="8">
                <c:v>1.2398208632955276E-2</c:v>
              </c:pt>
              <c:pt idx="9">
                <c:v>1.318518479663176E-2</c:v>
              </c:pt>
              <c:pt idx="10">
                <c:v>1.4016659610978009E-2</c:v>
              </c:pt>
              <c:pt idx="11">
                <c:v>1.4895172308085002E-2</c:v>
              </c:pt>
              <c:pt idx="12">
                <c:v>1.5822835533000876E-2</c:v>
              </c:pt>
              <c:pt idx="13">
                <c:v>1.6802134918069693E-2</c:v>
              </c:pt>
              <c:pt idx="14">
                <c:v>1.7835678062157825E-2</c:v>
              </c:pt>
              <c:pt idx="15">
                <c:v>1.8926201430995198E-2</c:v>
              </c:pt>
              <c:pt idx="16">
                <c:v>2.0076577776681488E-2</c:v>
              </c:pt>
              <c:pt idx="17">
                <c:v>2.1289824124604527E-2</c:v>
              </c:pt>
              <c:pt idx="18">
                <c:v>2.2569110381049421E-2</c:v>
              </c:pt>
              <c:pt idx="19">
                <c:v>2.3917768620388732E-2</c:v>
              </c:pt>
              <c:pt idx="20">
                <c:v>2.5339303117034938E-2</c:v>
              </c:pt>
              <c:pt idx="21">
                <c:v>2.6791307657598615E-2</c:v>
              </c:pt>
            </c:numLit>
          </c:yVal>
          <c:smooth val="1"/>
          <c:extLst>
            <c:ext xmlns:c16="http://schemas.microsoft.com/office/drawing/2014/chart" uri="{C3380CC4-5D6E-409C-BE32-E72D297353CC}">
              <c16:uniqueId val="{0000002F-A7BE-467A-B563-E2660BEB21C7}"/>
            </c:ext>
          </c:extLst>
        </c:ser>
        <c:ser>
          <c:idx val="34"/>
          <c:order val="34"/>
          <c:tx>
            <c:v>RH=70_Label2</c:v>
          </c:tx>
          <c:spPr>
            <a:ln w="3175">
              <a:solidFill>
                <a:srgbClr val="0000FF"/>
              </a:solidFill>
              <a:prstDash val="solid"/>
            </a:ln>
          </c:spPr>
          <c:marker>
            <c:symbol val="none"/>
          </c:marker>
          <c:dLbls>
            <c:dLbl>
              <c:idx val="0"/>
              <c:tx>
                <c:rich>
                  <a:bodyPr rot="-42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34.813834876140874</c:v>
              </c:pt>
            </c:numLit>
          </c:xVal>
          <c:yVal>
            <c:numLit>
              <c:formatCode>General</c:formatCode>
              <c:ptCount val="1"/>
              <c:pt idx="0">
                <c:v>2.7255513325913926E-2</c:v>
              </c:pt>
            </c:numLit>
          </c:yVal>
          <c:smooth val="0"/>
          <c:extLst>
            <c:ext xmlns:c16="http://schemas.microsoft.com/office/drawing/2014/chart" uri="{C3380CC4-5D6E-409C-BE32-E72D297353CC}">
              <c16:uniqueId val="{00000031-A7BE-467A-B563-E2660BEB21C7}"/>
            </c:ext>
          </c:extLst>
        </c:ser>
        <c:ser>
          <c:idx val="35"/>
          <c:order val="35"/>
          <c:tx>
            <c:v>RH=70_3</c:v>
          </c:tx>
          <c:spPr>
            <a:ln w="3175">
              <a:solidFill>
                <a:srgbClr val="0000FF"/>
              </a:solidFill>
              <a:prstDash val="solid"/>
            </a:ln>
          </c:spPr>
          <c:marker>
            <c:symbol val="none"/>
          </c:marker>
          <c:xVal>
            <c:numLit>
              <c:formatCode>General</c:formatCode>
              <c:ptCount val="6"/>
              <c:pt idx="0">
                <c:v>35.103329462369558</c:v>
              </c:pt>
              <c:pt idx="1">
                <c:v>36.069233486848795</c:v>
              </c:pt>
              <c:pt idx="2">
                <c:v>37.036746926694811</c:v>
              </c:pt>
              <c:pt idx="3">
                <c:v>38.00613532551386</c:v>
              </c:pt>
              <c:pt idx="4">
                <c:v>38.977675103752382</c:v>
              </c:pt>
              <c:pt idx="5">
                <c:v>38.588783183541054</c:v>
              </c:pt>
            </c:numLit>
          </c:xVal>
          <c:yVal>
            <c:numLit>
              <c:formatCode>General</c:formatCode>
              <c:ptCount val="6"/>
              <c:pt idx="0">
                <c:v>2.7727055154745443E-2</c:v>
              </c:pt>
              <c:pt idx="1">
                <c:v>2.9353269026086631E-2</c:v>
              </c:pt>
              <c:pt idx="2">
                <c:v>3.1066447446580409E-2</c:v>
              </c:pt>
              <c:pt idx="3">
                <c:v>3.2871034208401283E-2</c:v>
              </c:pt>
              <c:pt idx="4">
                <c:v>3.4771941489645422E-2</c:v>
              </c:pt>
              <c:pt idx="5">
                <c:v>3.4000000000000002E-2</c:v>
              </c:pt>
            </c:numLit>
          </c:yVal>
          <c:smooth val="1"/>
          <c:extLst>
            <c:ext xmlns:c16="http://schemas.microsoft.com/office/drawing/2014/chart" uri="{C3380CC4-5D6E-409C-BE32-E72D297353CC}">
              <c16:uniqueId val="{00000032-A7BE-467A-B563-E2660BEB21C7}"/>
            </c:ext>
          </c:extLst>
        </c:ser>
        <c:ser>
          <c:idx val="36"/>
          <c:order val="36"/>
          <c:tx>
            <c:v>RH=80_1</c:v>
          </c:tx>
          <c:spPr>
            <a:ln w="3175">
              <a:solidFill>
                <a:srgbClr val="0000FF"/>
              </a:solidFill>
              <a:prstDash val="solid"/>
            </a:ln>
          </c:spPr>
          <c:marker>
            <c:symbol val="none"/>
          </c:marker>
          <c:xVal>
            <c:numLit>
              <c:formatCode>General</c:formatCode>
              <c:ptCount val="25"/>
              <c:pt idx="0">
                <c:v>-10.180452186263604</c:v>
              </c:pt>
              <c:pt idx="1">
                <c:v>-9.1945796759886154</c:v>
              </c:pt>
              <c:pt idx="2">
                <c:v>-8.2096384016920805</c:v>
              </c:pt>
              <c:pt idx="3">
                <c:v>-7.2256752205696317</c:v>
              </c:pt>
              <c:pt idx="4">
                <c:v>-6.2427381953022687</c:v>
              </c:pt>
              <c:pt idx="5">
                <c:v>-5.260876526774017</c:v>
              </c:pt>
              <c:pt idx="6">
                <c:v>-4.2801404754774079</c:v>
              </c:pt>
              <c:pt idx="7">
                <c:v>-3.3005812708055844</c:v>
              </c:pt>
              <c:pt idx="8">
                <c:v>-2.3222510073925977</c:v>
              </c:pt>
              <c:pt idx="9">
                <c:v>-1.3452025276236916</c:v>
              </c:pt>
              <c:pt idx="10">
                <c:v>-0.36948928939471337</c:v>
              </c:pt>
              <c:pt idx="11">
                <c:v>0.60863329378288877</c:v>
              </c:pt>
              <c:pt idx="12">
                <c:v>1.585833572960492</c:v>
              </c:pt>
              <c:pt idx="13">
                <c:v>2.5620570975135073</c:v>
              </c:pt>
              <c:pt idx="14">
                <c:v>3.5372869289576077</c:v>
              </c:pt>
              <c:pt idx="15">
                <c:v>4.5115078042438777</c:v>
              </c:pt>
              <c:pt idx="16">
                <c:v>5.4846959914385236</c:v>
              </c:pt>
              <c:pt idx="17">
                <c:v>6.4568493985235067</c:v>
              </c:pt>
              <c:pt idx="18">
                <c:v>7.4279589606174943</c:v>
              </c:pt>
              <c:pt idx="19">
                <c:v>8.3980181532674312</c:v>
              </c:pt>
              <c:pt idx="20">
                <c:v>9.3670232412085248</c:v>
              </c:pt>
              <c:pt idx="21">
                <c:v>10.334960153020951</c:v>
              </c:pt>
              <c:pt idx="22">
                <c:v>11.30184357015829</c:v>
              </c:pt>
              <c:pt idx="23">
                <c:v>12.26767969355161</c:v>
              </c:pt>
              <c:pt idx="24">
                <c:v>12.286985796274866</c:v>
              </c:pt>
            </c:numLit>
          </c:xVal>
          <c:yVal>
            <c:numLit>
              <c:formatCode>General</c:formatCode>
              <c:ptCount val="25"/>
              <c:pt idx="0">
                <c:v>1.2842027403875593E-3</c:v>
              </c:pt>
              <c:pt idx="1">
                <c:v>1.4032054053372527E-3</c:v>
              </c:pt>
              <c:pt idx="2">
                <c:v>1.5322306894960248E-3</c:v>
              </c:pt>
              <c:pt idx="3">
                <c:v>1.6720376483506344E-3</c:v>
              </c:pt>
              <c:pt idx="4">
                <c:v>1.8234365626798278E-3</c:v>
              </c:pt>
              <c:pt idx="5">
                <c:v>1.9872920334292098E-3</c:v>
              </c:pt>
              <c:pt idx="6">
                <c:v>2.1645262544567742E-3</c:v>
              </c:pt>
              <c:pt idx="7">
                <c:v>2.3561224749136492E-3</c:v>
              </c:pt>
              <c:pt idx="8">
                <c:v>2.5631286641125323E-3</c:v>
              </c:pt>
              <c:pt idx="9">
                <c:v>2.7866613929500377E-3</c:v>
              </c:pt>
              <c:pt idx="10">
                <c:v>3.027909947304347E-3</c:v>
              </c:pt>
              <c:pt idx="11">
                <c:v>3.2565335521456892E-3</c:v>
              </c:pt>
              <c:pt idx="12">
                <c:v>3.5000959811974544E-3</c:v>
              </c:pt>
              <c:pt idx="13">
                <c:v>3.7597760701605356E-3</c:v>
              </c:pt>
              <c:pt idx="14">
                <c:v>4.0365014695512222E-3</c:v>
              </c:pt>
              <c:pt idx="15">
                <c:v>4.3312458040777246E-3</c:v>
              </c:pt>
              <c:pt idx="16">
                <c:v>4.6451239481437702E-3</c:v>
              </c:pt>
              <c:pt idx="17">
                <c:v>4.9791279851043521E-3</c:v>
              </c:pt>
              <c:pt idx="18">
                <c:v>5.3343834410344883E-3</c:v>
              </c:pt>
              <c:pt idx="19">
                <c:v>5.7120707207410411E-3</c:v>
              </c:pt>
              <c:pt idx="20">
                <c:v>6.1134276050712729E-3</c:v>
              </c:pt>
              <c:pt idx="21">
                <c:v>6.5398835392074571E-3</c:v>
              </c:pt>
              <c:pt idx="22">
                <c:v>6.9926858663954712E-3</c:v>
              </c:pt>
              <c:pt idx="23">
                <c:v>7.4732626119606346E-3</c:v>
              </c:pt>
              <c:pt idx="24">
                <c:v>7.4831676078565192E-3</c:v>
              </c:pt>
            </c:numLit>
          </c:yVal>
          <c:smooth val="1"/>
          <c:extLst>
            <c:ext xmlns:c16="http://schemas.microsoft.com/office/drawing/2014/chart" uri="{C3380CC4-5D6E-409C-BE32-E72D297353CC}">
              <c16:uniqueId val="{00000033-A7BE-467A-B563-E2660BEB21C7}"/>
            </c:ext>
          </c:extLst>
        </c:ser>
        <c:ser>
          <c:idx val="37"/>
          <c:order val="37"/>
          <c:tx>
            <c:v>RH=80_Label1</c:v>
          </c:tx>
          <c:spPr>
            <a:ln w="3175">
              <a:solidFill>
                <a:srgbClr val="0000FF"/>
              </a:solidFill>
              <a:prstDash val="solid"/>
            </a:ln>
          </c:spPr>
          <c:marker>
            <c:symbol val="none"/>
          </c:marker>
          <c:dLbls>
            <c:dLbl>
              <c:idx val="0"/>
              <c:tx>
                <c:rich>
                  <a:bodyPr rot="-25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12.711615264833819</c:v>
              </c:pt>
            </c:numLit>
          </c:xVal>
          <c:yVal>
            <c:numLit>
              <c:formatCode>General</c:formatCode>
              <c:ptCount val="1"/>
              <c:pt idx="0">
                <c:v>7.7040641188605768E-3</c:v>
              </c:pt>
            </c:numLit>
          </c:yVal>
          <c:smooth val="0"/>
          <c:extLst>
            <c:ext xmlns:c16="http://schemas.microsoft.com/office/drawing/2014/chart" uri="{C3380CC4-5D6E-409C-BE32-E72D297353CC}">
              <c16:uniqueId val="{00000035-A7BE-467A-B563-E2660BEB21C7}"/>
            </c:ext>
          </c:extLst>
        </c:ser>
        <c:ser>
          <c:idx val="38"/>
          <c:order val="38"/>
          <c:tx>
            <c:v>RH=80_2</c:v>
          </c:tx>
          <c:spPr>
            <a:ln w="3175">
              <a:solidFill>
                <a:srgbClr val="0000FF"/>
              </a:solidFill>
              <a:prstDash val="solid"/>
            </a:ln>
          </c:spPr>
          <c:marker>
            <c:symbol val="none"/>
          </c:marker>
          <c:xVal>
            <c:numLit>
              <c:formatCode>General</c:formatCode>
              <c:ptCount val="22"/>
              <c:pt idx="0">
                <c:v>13.126401133750839</c:v>
              </c:pt>
              <c:pt idx="1">
                <c:v>14.090288989447505</c:v>
              </c:pt>
              <c:pt idx="2">
                <c:v>15.053170747798612</c:v>
              </c:pt>
              <c:pt idx="3">
                <c:v>16.015069809774843</c:v>
              </c:pt>
              <c:pt idx="4">
                <c:v>16.976014887118126</c:v>
              </c:pt>
              <c:pt idx="5">
                <c:v>17.936040406731724</c:v>
              </c:pt>
              <c:pt idx="6">
                <c:v>18.89518693810933</c:v>
              </c:pt>
              <c:pt idx="7">
                <c:v>19.853501645351351</c:v>
              </c:pt>
              <c:pt idx="8">
                <c:v>20.811038765476308</c:v>
              </c:pt>
              <c:pt idx="9">
                <c:v>21.767860114913741</c:v>
              </c:pt>
              <c:pt idx="10">
                <c:v>22.724035626264467</c:v>
              </c:pt>
              <c:pt idx="11">
                <c:v>23.679643917637332</c:v>
              </c:pt>
              <c:pt idx="12">
                <c:v>24.634750042440118</c:v>
              </c:pt>
              <c:pt idx="13">
                <c:v>25.589470039074989</c:v>
              </c:pt>
              <c:pt idx="14">
                <c:v>26.543915049794826</c:v>
              </c:pt>
              <c:pt idx="15">
                <c:v>27.498204849624148</c:v>
              </c:pt>
              <c:pt idx="16">
                <c:v>28.45247134380487</c:v>
              </c:pt>
              <c:pt idx="17">
                <c:v>29.406859398673731</c:v>
              </c:pt>
              <c:pt idx="18">
                <c:v>30.361527730352606</c:v>
              </c:pt>
              <c:pt idx="19">
                <c:v>31.316649856650912</c:v>
              </c:pt>
              <c:pt idx="20">
                <c:v>32.272415118207242</c:v>
              </c:pt>
              <c:pt idx="21">
                <c:v>32.463663186889853</c:v>
              </c:pt>
            </c:numLit>
          </c:xVal>
          <c:yVal>
            <c:numLit>
              <c:formatCode>General</c:formatCode>
              <c:ptCount val="22"/>
              <c:pt idx="0">
                <c:v>7.9255468626814787E-3</c:v>
              </c:pt>
              <c:pt idx="1">
                <c:v>8.4627640216843013E-3</c:v>
              </c:pt>
              <c:pt idx="2">
                <c:v>9.0322819658535669E-3</c:v>
              </c:pt>
              <c:pt idx="3">
                <c:v>9.6358161442111449E-3</c:v>
              </c:pt>
              <c:pt idx="4">
                <c:v>1.0275164928481188E-2</c:v>
              </c:pt>
              <c:pt idx="5">
                <c:v>1.0952213771336889E-2</c:v>
              </c:pt>
              <c:pt idx="6">
                <c:v>1.1668939635490804E-2</c:v>
              </c:pt>
              <c:pt idx="7">
                <c:v>1.2427415717094702E-2</c:v>
              </c:pt>
              <c:pt idx="8">
                <c:v>1.3229816489212421E-2</c:v>
              </c:pt>
              <c:pt idx="9">
                <c:v>1.4078423093671105E-2</c:v>
              </c:pt>
              <c:pt idx="10">
                <c:v>1.497562911241101E-2</c:v>
              </c:pt>
              <c:pt idx="11">
                <c:v>1.5923946752573682E-2</c:v>
              </c:pt>
              <c:pt idx="12">
                <c:v>1.6926321665222295E-2</c:v>
              </c:pt>
              <c:pt idx="13">
                <c:v>1.7985295687797626E-2</c:v>
              </c:pt>
              <c:pt idx="14">
                <c:v>1.9103746933839028E-2</c:v>
              </c:pt>
              <c:pt idx="15">
                <c:v>2.0284737923553457E-2</c:v>
              </c:pt>
              <c:pt idx="16">
                <c:v>2.1531488732640418E-2</c:v>
              </c:pt>
              <c:pt idx="17">
                <c:v>2.2847386630256223E-2</c:v>
              </c:pt>
              <c:pt idx="18">
                <c:v>2.4235996495608453E-2</c:v>
              </c:pt>
              <c:pt idx="19">
                <c:v>2.5701072089600041E-2</c:v>
              </c:pt>
              <c:pt idx="20">
                <c:v>2.7246568266401386E-2</c:v>
              </c:pt>
              <c:pt idx="21">
                <c:v>2.7565680930385719E-2</c:v>
              </c:pt>
            </c:numLit>
          </c:yVal>
          <c:smooth val="1"/>
          <c:extLst>
            <c:ext xmlns:c16="http://schemas.microsoft.com/office/drawing/2014/chart" uri="{C3380CC4-5D6E-409C-BE32-E72D297353CC}">
              <c16:uniqueId val="{00000036-A7BE-467A-B563-E2660BEB21C7}"/>
            </c:ext>
          </c:extLst>
        </c:ser>
        <c:ser>
          <c:idx val="39"/>
          <c:order val="39"/>
          <c:tx>
            <c:v>RH=80_Label2</c:v>
          </c:tx>
          <c:spPr>
            <a:ln w="3175">
              <a:solidFill>
                <a:srgbClr val="0000FF"/>
              </a:solidFill>
              <a:prstDash val="solid"/>
            </a:ln>
          </c:spPr>
          <c:marker>
            <c:symbol val="none"/>
          </c:marker>
          <c:dLbls>
            <c:dLbl>
              <c:idx val="0"/>
              <c:tx>
                <c:rich>
                  <a:bodyPr rot="-42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32.750602688528097</c:v>
              </c:pt>
            </c:numLit>
          </c:xVal>
          <c:yVal>
            <c:numLit>
              <c:formatCode>General</c:formatCode>
              <c:ptCount val="1"/>
              <c:pt idx="0">
                <c:v>2.8050768188587615E-2</c:v>
              </c:pt>
            </c:numLit>
          </c:yVal>
          <c:smooth val="0"/>
          <c:extLst>
            <c:ext xmlns:c16="http://schemas.microsoft.com/office/drawing/2014/chart" uri="{C3380CC4-5D6E-409C-BE32-E72D297353CC}">
              <c16:uniqueId val="{00000038-A7BE-467A-B563-E2660BEB21C7}"/>
            </c:ext>
          </c:extLst>
        </c:ser>
        <c:ser>
          <c:idx val="40"/>
          <c:order val="40"/>
          <c:tx>
            <c:v>RH=80_3</c:v>
          </c:tx>
          <c:spPr>
            <a:ln w="3175">
              <a:solidFill>
                <a:srgbClr val="0000FF"/>
              </a:solidFill>
              <a:prstDash val="solid"/>
            </a:ln>
          </c:spPr>
          <c:marker>
            <c:symbol val="none"/>
          </c:marker>
          <c:xVal>
            <c:numLit>
              <c:formatCode>General</c:formatCode>
              <c:ptCount val="6"/>
              <c:pt idx="0">
                <c:v>33.037628393746793</c:v>
              </c:pt>
              <c:pt idx="1">
                <c:v>33.9950831970501</c:v>
              </c:pt>
              <c:pt idx="2">
                <c:v>34.953805130519036</c:v>
              </c:pt>
              <c:pt idx="3">
                <c:v>35.914054410996094</c:v>
              </c:pt>
              <c:pt idx="4">
                <c:v>36.876113181707282</c:v>
              </c:pt>
              <c:pt idx="5">
                <c:v>35.952500064053595</c:v>
              </c:pt>
            </c:numLit>
          </c:xVal>
          <c:yVal>
            <c:numLit>
              <c:formatCode>General</c:formatCode>
              <c:ptCount val="6"/>
              <c:pt idx="0">
                <c:v>2.8543662162467006E-2</c:v>
              </c:pt>
              <c:pt idx="1">
                <c:v>3.0244574943639833E-2</c:v>
              </c:pt>
              <c:pt idx="2">
                <c:v>3.2038168900809259E-2</c:v>
              </c:pt>
              <c:pt idx="3">
                <c:v>3.3929294001852288E-2</c:v>
              </c:pt>
              <c:pt idx="4">
                <c:v>3.592307633192917E-2</c:v>
              </c:pt>
              <c:pt idx="5">
                <c:v>3.4000000000000002E-2</c:v>
              </c:pt>
            </c:numLit>
          </c:yVal>
          <c:smooth val="1"/>
          <c:extLst>
            <c:ext xmlns:c16="http://schemas.microsoft.com/office/drawing/2014/chart" uri="{C3380CC4-5D6E-409C-BE32-E72D297353CC}">
              <c16:uniqueId val="{00000039-A7BE-467A-B563-E2660BEB21C7}"/>
            </c:ext>
          </c:extLst>
        </c:ser>
        <c:ser>
          <c:idx val="41"/>
          <c:order val="41"/>
          <c:tx>
            <c:v>RH=90_1</c:v>
          </c:tx>
          <c:spPr>
            <a:ln w="3175">
              <a:solidFill>
                <a:srgbClr val="0000FF"/>
              </a:solidFill>
              <a:prstDash val="solid"/>
            </a:ln>
          </c:spPr>
          <c:marker>
            <c:symbol val="none"/>
          </c:marker>
          <c:xVal>
            <c:numLit>
              <c:formatCode>General</c:formatCode>
              <c:ptCount val="24"/>
              <c:pt idx="0">
                <c:v>-10.203061117108504</c:v>
              </c:pt>
              <c:pt idx="1">
                <c:v>-9.2189638841177288</c:v>
              </c:pt>
              <c:pt idx="2">
                <c:v>-8.2359158484322386</c:v>
              </c:pt>
              <c:pt idx="3">
                <c:v>-7.2539699649812084</c:v>
              </c:pt>
              <c:pt idx="4">
                <c:v>-6.2731805789339665</c:v>
              </c:pt>
              <c:pt idx="5">
                <c:v>-5.2936033543508669</c:v>
              </c:pt>
              <c:pt idx="6">
                <c:v>-4.3152951905919164</c:v>
              </c:pt>
              <c:pt idx="7">
                <c:v>-3.3383141256262028</c:v>
              </c:pt>
              <c:pt idx="8">
                <c:v>-2.3627192253460603</c:v>
              </c:pt>
              <c:pt idx="9">
                <c:v>-1.3885704579480165</c:v>
              </c:pt>
              <c:pt idx="10">
                <c:v>-0.41592855239732107</c:v>
              </c:pt>
              <c:pt idx="11">
                <c:v>0.55942411219871202</c:v>
              </c:pt>
              <c:pt idx="12">
                <c:v>1.5337347901867149</c:v>
              </c:pt>
              <c:pt idx="13">
                <c:v>2.5069416767255421</c:v>
              </c:pt>
              <c:pt idx="14">
                <c:v>3.4790251698185326</c:v>
              </c:pt>
              <c:pt idx="15">
                <c:v>4.449967501125359</c:v>
              </c:pt>
              <c:pt idx="16">
                <c:v>5.4197412981933741</c:v>
              </c:pt>
              <c:pt idx="17">
                <c:v>6.3883435126751555</c:v>
              </c:pt>
              <c:pt idx="18">
                <c:v>7.355763172179449</c:v>
              </c:pt>
              <c:pt idx="19">
                <c:v>8.3219920957315914</c:v>
              </c:pt>
              <c:pt idx="20">
                <c:v>9.2870251696381416</c:v>
              </c:pt>
              <c:pt idx="21">
                <c:v>10.250845537808315</c:v>
              </c:pt>
              <c:pt idx="22">
                <c:v>11.213468682166988</c:v>
              </c:pt>
              <c:pt idx="23">
                <c:v>11.232708966331858</c:v>
              </c:pt>
            </c:numLit>
          </c:xVal>
          <c:yVal>
            <c:numLit>
              <c:formatCode>General</c:formatCode>
              <c:ptCount val="24"/>
              <c:pt idx="0">
                <c:v>1.4451010456363609E-3</c:v>
              </c:pt>
              <c:pt idx="1">
                <c:v>1.5790513793722909E-3</c:v>
              </c:pt>
              <c:pt idx="2">
                <c:v>1.7242904934817753E-3</c:v>
              </c:pt>
              <c:pt idx="3">
                <c:v>1.8816746558483943E-3</c:v>
              </c:pt>
              <c:pt idx="4">
                <c:v>2.0521181482046785E-3</c:v>
              </c:pt>
              <c:pt idx="5">
                <c:v>2.2365968080945969E-3</c:v>
              </c:pt>
              <c:pt idx="6">
                <c:v>2.4361517798423041E-3</c:v>
              </c:pt>
              <c:pt idx="7">
                <c:v>2.651893489013245E-3</c:v>
              </c:pt>
              <c:pt idx="8">
                <c:v>2.8850058562471248E-3</c:v>
              </c:pt>
              <c:pt idx="9">
                <c:v>3.1367507679000511E-3</c:v>
              </c:pt>
              <c:pt idx="10">
                <c:v>3.4084728226759938E-3</c:v>
              </c:pt>
              <c:pt idx="11">
                <c:v>3.6659995295954982E-3</c:v>
              </c:pt>
              <c:pt idx="12">
                <c:v>3.9403797133078381E-3</c:v>
              </c:pt>
              <c:pt idx="13">
                <c:v>4.2329465200043074E-3</c:v>
              </c:pt>
              <c:pt idx="14">
                <c:v>4.5447509466055858E-3</c:v>
              </c:pt>
              <c:pt idx="15">
                <c:v>4.8768966496376548E-3</c:v>
              </c:pt>
              <c:pt idx="16">
                <c:v>5.2306474374324884E-3</c:v>
              </c:pt>
              <c:pt idx="17">
                <c:v>5.6071298181956681E-3</c:v>
              </c:pt>
              <c:pt idx="18">
                <c:v>6.0076218834582296E-3</c:v>
              </c:pt>
              <c:pt idx="19">
                <c:v>6.4334649282589956E-3</c:v>
              </c:pt>
              <c:pt idx="20">
                <c:v>6.8860664299542004E-3</c:v>
              </c:pt>
              <c:pt idx="21">
                <c:v>7.3670517005360123E-3</c:v>
              </c:pt>
              <c:pt idx="22">
                <c:v>7.8778425501793113E-3</c:v>
              </c:pt>
              <c:pt idx="23">
                <c:v>7.8883734305233554E-3</c:v>
              </c:pt>
            </c:numLit>
          </c:yVal>
          <c:smooth val="1"/>
          <c:extLst>
            <c:ext xmlns:c16="http://schemas.microsoft.com/office/drawing/2014/chart" uri="{C3380CC4-5D6E-409C-BE32-E72D297353CC}">
              <c16:uniqueId val="{0000003A-A7BE-467A-B563-E2660BEB21C7}"/>
            </c:ext>
          </c:extLst>
        </c:ser>
        <c:ser>
          <c:idx val="42"/>
          <c:order val="42"/>
          <c:tx>
            <c:v>RH=90_Label1</c:v>
          </c:tx>
          <c:spPr>
            <a:ln w="3175">
              <a:solidFill>
                <a:srgbClr val="0000FF"/>
              </a:solidFill>
              <a:prstDash val="solid"/>
            </a:ln>
          </c:spPr>
          <c:marker>
            <c:symbol val="none"/>
          </c:marker>
          <c:dLbls>
            <c:dLbl>
              <c:idx val="0"/>
              <c:tx>
                <c:rich>
                  <a:bodyPr rot="-25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11.646259900647037</c:v>
              </c:pt>
            </c:numLit>
          </c:xVal>
          <c:yVal>
            <c:numLit>
              <c:formatCode>General</c:formatCode>
              <c:ptCount val="1"/>
              <c:pt idx="0">
                <c:v>8.1178532770005106E-3</c:v>
              </c:pt>
            </c:numLit>
          </c:yVal>
          <c:smooth val="0"/>
          <c:extLst>
            <c:ext xmlns:c16="http://schemas.microsoft.com/office/drawing/2014/chart" uri="{C3380CC4-5D6E-409C-BE32-E72D297353CC}">
              <c16:uniqueId val="{0000003C-A7BE-467A-B563-E2660BEB21C7}"/>
            </c:ext>
          </c:extLst>
        </c:ser>
        <c:ser>
          <c:idx val="43"/>
          <c:order val="43"/>
          <c:tx>
            <c:v>RH=90_2</c:v>
          </c:tx>
          <c:spPr>
            <a:ln w="3175">
              <a:solidFill>
                <a:srgbClr val="0000FF"/>
              </a:solidFill>
              <a:prstDash val="solid"/>
            </a:ln>
          </c:spPr>
          <c:marker>
            <c:symbol val="none"/>
          </c:marker>
          <c:xVal>
            <c:numLit>
              <c:formatCode>General</c:formatCode>
              <c:ptCount val="21"/>
              <c:pt idx="0">
                <c:v>12.040371376417388</c:v>
              </c:pt>
              <c:pt idx="1">
                <c:v>13.000786481909122</c:v>
              </c:pt>
              <c:pt idx="2">
                <c:v>13.960032844058953</c:v>
              </c:pt>
              <c:pt idx="3">
                <c:v>14.918129680360906</c:v>
              </c:pt>
              <c:pt idx="4">
                <c:v>15.875101644209693</c:v>
              </c:pt>
              <c:pt idx="5">
                <c:v>16.830979252388389</c:v>
              </c:pt>
              <c:pt idx="6">
                <c:v>17.785799337468799</c:v>
              </c:pt>
              <c:pt idx="7">
                <c:v>18.739605526849186</c:v>
              </c:pt>
              <c:pt idx="8">
                <c:v>19.692448750336801</c:v>
              </c:pt>
              <c:pt idx="9">
                <c:v>20.644387778388275</c:v>
              </c:pt>
              <c:pt idx="10">
                <c:v>21.595489793350815</c:v>
              </c:pt>
              <c:pt idx="11">
                <c:v>22.545830996305387</c:v>
              </c:pt>
              <c:pt idx="12">
                <c:v>23.495497252402274</c:v>
              </c:pt>
              <c:pt idx="13">
                <c:v>24.444559791625569</c:v>
              </c:pt>
              <c:pt idx="14">
                <c:v>25.393144767087321</c:v>
              </c:pt>
              <c:pt idx="15">
                <c:v>26.341375214287908</c:v>
              </c:pt>
              <c:pt idx="16">
                <c:v>27.289382963368936</c:v>
              </c:pt>
              <c:pt idx="17">
                <c:v>28.237313448846709</c:v>
              </c:pt>
              <c:pt idx="18">
                <c:v>29.185326669368859</c:v>
              </c:pt>
              <c:pt idx="19">
                <c:v>30.133598218095109</c:v>
              </c:pt>
              <c:pt idx="20">
                <c:v>30.655326638713657</c:v>
              </c:pt>
            </c:numLit>
          </c:xVal>
          <c:yVal>
            <c:numLit>
              <c:formatCode>General</c:formatCode>
              <c:ptCount val="21"/>
              <c:pt idx="0">
                <c:v>8.3422001056663829E-3</c:v>
              </c:pt>
              <c:pt idx="1">
                <c:v>8.9128194892929211E-3</c:v>
              </c:pt>
              <c:pt idx="2">
                <c:v>9.518115555408645E-3</c:v>
              </c:pt>
              <c:pt idx="3">
                <c:v>1.0159955796425158E-2</c:v>
              </c:pt>
              <c:pt idx="4">
                <c:v>1.0840299888458355E-2</c:v>
              </c:pt>
              <c:pt idx="5">
                <c:v>1.1561204462982987E-2</c:v>
              </c:pt>
              <c:pt idx="6">
                <c:v>1.2324828199989819E-2</c:v>
              </c:pt>
              <c:pt idx="7">
                <c:v>1.3133437271204971E-2</c:v>
              </c:pt>
              <c:pt idx="8">
                <c:v>1.3989411164801244E-2</c:v>
              </c:pt>
              <c:pt idx="9">
                <c:v>1.4895248926209768E-2</c:v>
              </c:pt>
              <c:pt idx="10">
                <c:v>1.5853575853174682E-2</c:v>
              </c:pt>
              <c:pt idx="11">
                <c:v>1.68671506871205E-2</c:v>
              </c:pt>
              <c:pt idx="12">
                <c:v>1.7938873347281416E-2</c:v>
              </c:pt>
              <c:pt idx="13">
                <c:v>1.9072129932664161E-2</c:v>
              </c:pt>
              <c:pt idx="14">
                <c:v>2.0269893631218422E-2</c:v>
              </c:pt>
              <c:pt idx="15">
                <c:v>2.1535493659837937E-2</c:v>
              </c:pt>
              <c:pt idx="16">
                <c:v>2.2872489719961808E-2</c:v>
              </c:pt>
              <c:pt idx="17">
                <c:v>2.4284631904305951E-2</c:v>
              </c:pt>
              <c:pt idx="18">
                <c:v>2.5775873015081382E-2</c:v>
              </c:pt>
              <c:pt idx="19">
                <c:v>2.7350381928244794E-2</c:v>
              </c:pt>
              <c:pt idx="20">
                <c:v>2.8253438866759149E-2</c:v>
              </c:pt>
            </c:numLit>
          </c:yVal>
          <c:smooth val="1"/>
          <c:extLst>
            <c:ext xmlns:c16="http://schemas.microsoft.com/office/drawing/2014/chart" uri="{C3380CC4-5D6E-409C-BE32-E72D297353CC}">
              <c16:uniqueId val="{0000003D-A7BE-467A-B563-E2660BEB21C7}"/>
            </c:ext>
          </c:extLst>
        </c:ser>
        <c:ser>
          <c:idx val="44"/>
          <c:order val="44"/>
          <c:tx>
            <c:v>RH=90_Label2</c:v>
          </c:tx>
          <c:spPr>
            <a:ln w="3175">
              <a:solidFill>
                <a:srgbClr val="0000FF"/>
              </a:solidFill>
              <a:prstDash val="solid"/>
            </a:ln>
          </c:spPr>
          <c:marker>
            <c:symbol val="none"/>
          </c:marker>
          <c:dLbls>
            <c:dLbl>
              <c:idx val="0"/>
              <c:tx>
                <c:rich>
                  <a:bodyPr rot="-43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30.939975284697223</c:v>
              </c:pt>
            </c:numLit>
          </c:xVal>
          <c:yVal>
            <c:numLit>
              <c:formatCode>General</c:formatCode>
              <c:ptCount val="1"/>
              <c:pt idx="0">
                <c:v>2.8757463147165228E-2</c:v>
              </c:pt>
            </c:numLit>
          </c:yVal>
          <c:smooth val="0"/>
          <c:extLst>
            <c:ext xmlns:c16="http://schemas.microsoft.com/office/drawing/2014/chart" uri="{C3380CC4-5D6E-409C-BE32-E72D297353CC}">
              <c16:uniqueId val="{0000003F-A7BE-467A-B563-E2660BEB21C7}"/>
            </c:ext>
          </c:extLst>
        </c:ser>
        <c:ser>
          <c:idx val="45"/>
          <c:order val="45"/>
          <c:tx>
            <c:v>RH=90_3</c:v>
          </c:tx>
          <c:spPr>
            <a:ln w="3175">
              <a:solidFill>
                <a:srgbClr val="0000FF"/>
              </a:solidFill>
              <a:prstDash val="solid"/>
            </a:ln>
          </c:spPr>
          <c:marker>
            <c:symbol val="none"/>
          </c:marker>
          <c:xVal>
            <c:numLit>
              <c:formatCode>General</c:formatCode>
              <c:ptCount val="5"/>
              <c:pt idx="0">
                <c:v>31.22468032987539</c:v>
              </c:pt>
              <c:pt idx="1">
                <c:v>32.174181737246165</c:v>
              </c:pt>
              <c:pt idx="2">
                <c:v>33.124609480521713</c:v>
              </c:pt>
              <c:pt idx="3">
                <c:v>34.076216723271955</c:v>
              </c:pt>
              <c:pt idx="4">
                <c:v>33.657347107248512</c:v>
              </c:pt>
            </c:numLit>
          </c:xVal>
          <c:yVal>
            <c:numLit>
              <c:formatCode>General</c:formatCode>
              <c:ptCount val="5"/>
              <c:pt idx="0">
                <c:v>2.9269729636960021E-2</c:v>
              </c:pt>
              <c:pt idx="1">
                <c:v>3.1038482663102926E-2</c:v>
              </c:pt>
              <c:pt idx="2">
                <c:v>3.2905218516468299E-2</c:v>
              </c:pt>
              <c:pt idx="3">
                <c:v>3.4875173021623865E-2</c:v>
              </c:pt>
              <c:pt idx="4">
                <c:v>3.4000000000000002E-2</c:v>
              </c:pt>
            </c:numLit>
          </c:yVal>
          <c:smooth val="1"/>
          <c:extLst>
            <c:ext xmlns:c16="http://schemas.microsoft.com/office/drawing/2014/chart" uri="{C3380CC4-5D6E-409C-BE32-E72D297353CC}">
              <c16:uniqueId val="{00000040-A7BE-467A-B563-E2660BEB21C7}"/>
            </c:ext>
          </c:extLst>
        </c:ser>
        <c:ser>
          <c:idx val="46"/>
          <c:order val="46"/>
          <c:tx>
            <c:v>RH=100_1</c:v>
          </c:tx>
          <c:spPr>
            <a:ln w="3175">
              <a:solidFill>
                <a:srgbClr val="0000FF"/>
              </a:solidFill>
              <a:prstDash val="solid"/>
            </a:ln>
          </c:spPr>
          <c:marker>
            <c:symbol val="none"/>
          </c:marker>
          <c:xVal>
            <c:numLit>
              <c:formatCode>General</c:formatCode>
              <c:ptCount val="23"/>
              <c:pt idx="0">
                <c:v>-10.225681724151015</c:v>
              </c:pt>
              <c:pt idx="1">
                <c:v>-9.2433618528828934</c:v>
              </c:pt>
              <c:pt idx="2">
                <c:v>-8.2622094885879349</c:v>
              </c:pt>
              <c:pt idx="3">
                <c:v>-7.282283738016889</c:v>
              </c:pt>
              <c:pt idx="4">
                <c:v>-6.3036452906426126</c:v>
              </c:pt>
              <c:pt idx="5">
                <c:v>-5.3263563442463973</c:v>
              </c:pt>
              <c:pt idx="6">
                <c:v>-4.3504805174478607</c:v>
              </c:pt>
              <c:pt idx="7">
                <c:v>-3.376082748277248</c:v>
              </c:pt>
              <c:pt idx="8">
                <c:v>-2.4032291778490422</c:v>
              </c:pt>
              <c:pt idx="9">
                <c:v>-1.4319870181527783</c:v>
              </c:pt>
              <c:pt idx="10">
                <c:v>-0.46242440293020992</c:v>
              </c:pt>
              <c:pt idx="11">
                <c:v>0.51015043441492258</c:v>
              </c:pt>
              <c:pt idx="12">
                <c:v>1.4815626096994845</c:v>
              </c:pt>
              <c:pt idx="13">
                <c:v>2.4517428387577267</c:v>
              </c:pt>
              <c:pt idx="14">
                <c:v>3.4206687308458328</c:v>
              </c:pt>
              <c:pt idx="15">
                <c:v>4.388319875013365</c:v>
              </c:pt>
              <c:pt idx="16">
                <c:v>5.3546651030540735</c:v>
              </c:pt>
              <c:pt idx="17">
                <c:v>6.3197002495830636</c:v>
              </c:pt>
              <c:pt idx="18">
                <c:v>7.283412255146529</c:v>
              </c:pt>
              <c:pt idx="19">
                <c:v>8.2457910866084418</c:v>
              </c:pt>
              <c:pt idx="20">
                <c:v>9.2068300390283753</c:v>
              </c:pt>
              <c:pt idx="21">
                <c:v>10.166509231536022</c:v>
              </c:pt>
              <c:pt idx="22">
                <c:v>10.271991853153045</c:v>
              </c:pt>
            </c:numLit>
          </c:xVal>
          <c:yVal>
            <c:numLit>
              <c:formatCode>General</c:formatCode>
              <c:ptCount val="23"/>
              <c:pt idx="0">
                <c:v>1.6060824455002855E-3</c:v>
              </c:pt>
              <c:pt idx="1">
                <c:v>1.7549965878149991E-3</c:v>
              </c:pt>
              <c:pt idx="2">
                <c:v>1.9164686538757729E-3</c:v>
              </c:pt>
              <c:pt idx="3">
                <c:v>2.0914526472602013E-3</c:v>
              </c:pt>
              <c:pt idx="4">
                <c:v>2.2809674610698065E-3</c:v>
              </c:pt>
              <c:pt idx="5">
                <c:v>2.4861008807502316E-3</c:v>
              </c:pt>
              <c:pt idx="6">
                <c:v>2.7080138291286308E-3</c:v>
              </c:pt>
              <c:pt idx="7">
                <c:v>2.9479448711774276E-3</c:v>
              </c:pt>
              <c:pt idx="8">
                <c:v>3.2072149977556683E-3</c:v>
              </c:pt>
              <c:pt idx="9">
                <c:v>3.4872327095305327E-3</c:v>
              </c:pt>
              <c:pt idx="10">
                <c:v>3.7894994244688104E-3</c:v>
              </c:pt>
              <c:pt idx="11">
                <c:v>4.076002175174424E-3</c:v>
              </c:pt>
              <c:pt idx="12">
                <c:v>4.3812837251538872E-3</c:v>
              </c:pt>
              <c:pt idx="13">
                <c:v>4.7068331132422495E-3</c:v>
              </c:pt>
              <c:pt idx="14">
                <c:v>5.0538263680982628E-3</c:v>
              </c:pt>
              <c:pt idx="15">
                <c:v>5.4234990810554818E-3</c:v>
              </c:pt>
              <c:pt idx="16">
                <c:v>5.8172661857312045E-3</c:v>
              </c:pt>
              <c:pt idx="17">
                <c:v>6.236391005280101E-3</c:v>
              </c:pt>
              <c:pt idx="18">
                <c:v>6.6823069273506883E-3</c:v>
              </c:pt>
              <c:pt idx="19">
                <c:v>7.156519212147776E-3</c:v>
              </c:pt>
              <c:pt idx="20">
                <c:v>7.6606084940231836E-3</c:v>
              </c:pt>
              <c:pt idx="21">
                <c:v>8.196399932304619E-3</c:v>
              </c:pt>
              <c:pt idx="22">
                <c:v>8.2573377030506299E-3</c:v>
              </c:pt>
            </c:numLit>
          </c:yVal>
          <c:smooth val="1"/>
          <c:extLst>
            <c:ext xmlns:c16="http://schemas.microsoft.com/office/drawing/2014/chart" uri="{C3380CC4-5D6E-409C-BE32-E72D297353CC}">
              <c16:uniqueId val="{00000041-A7BE-467A-B563-E2660BEB21C7}"/>
            </c:ext>
          </c:extLst>
        </c:ser>
        <c:ser>
          <c:idx val="47"/>
          <c:order val="47"/>
          <c:tx>
            <c:v>RH=100_Label1</c:v>
          </c:tx>
          <c:spPr>
            <a:ln w="3175">
              <a:solidFill>
                <a:srgbClr val="0000FF"/>
              </a:solidFill>
              <a:prstDash val="solid"/>
            </a:ln>
          </c:spPr>
          <c:marker>
            <c:symbol val="none"/>
          </c:marker>
          <c:dLbls>
            <c:dLbl>
              <c:idx val="0"/>
              <c:tx>
                <c:rich>
                  <a:bodyPr rot="-27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10.665011151224665</c:v>
              </c:pt>
            </c:numLit>
          </c:xVal>
          <c:yVal>
            <c:numLit>
              <c:formatCode>General</c:formatCode>
              <c:ptCount val="1"/>
              <c:pt idx="0">
                <c:v>8.4880589687444351E-3</c:v>
              </c:pt>
            </c:numLit>
          </c:yVal>
          <c:smooth val="0"/>
          <c:extLst>
            <c:ext xmlns:c16="http://schemas.microsoft.com/office/drawing/2014/chart" uri="{C3380CC4-5D6E-409C-BE32-E72D297353CC}">
              <c16:uniqueId val="{00000043-A7BE-467A-B563-E2660BEB21C7}"/>
            </c:ext>
          </c:extLst>
        </c:ser>
        <c:ser>
          <c:idx val="48"/>
          <c:order val="48"/>
          <c:tx>
            <c:v>RH=100_2</c:v>
          </c:tx>
          <c:spPr>
            <a:ln w="3175">
              <a:solidFill>
                <a:srgbClr val="0000FF"/>
              </a:solidFill>
              <a:prstDash val="solid"/>
            </a:ln>
          </c:spPr>
          <c:marker>
            <c:symbol val="none"/>
          </c:marker>
          <c:xVal>
            <c:numLit>
              <c:formatCode>General</c:formatCode>
              <c:ptCount val="20"/>
              <c:pt idx="0">
                <c:v>11.048227220892889</c:v>
              </c:pt>
              <c:pt idx="1">
                <c:v>12.005330936829955</c:v>
              </c:pt>
              <c:pt idx="2">
                <c:v>12.96110504176394</c:v>
              </c:pt>
              <c:pt idx="3">
                <c:v>13.915564135260015</c:v>
              </c:pt>
              <c:pt idx="4">
                <c:v>14.868728327381067</c:v>
              </c:pt>
              <c:pt idx="5">
                <c:v>15.820623685564295</c:v>
              </c:pt>
              <c:pt idx="6">
                <c:v>16.771282708040495</c:v>
              </c:pt>
              <c:pt idx="7">
                <c:v>17.720744825679219</c:v>
              </c:pt>
              <c:pt idx="8">
                <c:v>18.669056934348426</c:v>
              </c:pt>
              <c:pt idx="9">
                <c:v>19.616273960108163</c:v>
              </c:pt>
              <c:pt idx="10">
                <c:v>20.562459459816811</c:v>
              </c:pt>
              <c:pt idx="11">
                <c:v>21.507686260020563</c:v>
              </c:pt>
              <c:pt idx="12">
                <c:v>22.452037137323931</c:v>
              </c:pt>
              <c:pt idx="13">
                <c:v>23.395605543808962</c:v>
              </c:pt>
              <c:pt idx="14">
                <c:v>24.338466409753295</c:v>
              </c:pt>
              <c:pt idx="15">
                <c:v>25.280761865424591</c:v>
              </c:pt>
              <c:pt idx="16">
                <c:v>26.22262470804306</c:v>
              </c:pt>
              <c:pt idx="17">
                <c:v>27.16419935139696</c:v>
              </c:pt>
              <c:pt idx="18">
                <c:v>28.105645355230642</c:v>
              </c:pt>
              <c:pt idx="19">
                <c:v>29.047138524887348</c:v>
              </c:pt>
            </c:numLit>
          </c:xVal>
          <c:yVal>
            <c:numLit>
              <c:formatCode>General</c:formatCode>
              <c:ptCount val="20"/>
              <c:pt idx="0">
                <c:v>8.7186984612775478E-3</c:v>
              </c:pt>
              <c:pt idx="1">
                <c:v>9.3200472156966009E-3</c:v>
              </c:pt>
              <c:pt idx="2">
                <c:v>9.9582974908895144E-3</c:v>
              </c:pt>
              <c:pt idx="3">
                <c:v>1.0635461977505508E-2</c:v>
              </c:pt>
              <c:pt idx="4">
                <c:v>1.1353654611274092E-2</c:v>
              </c:pt>
              <c:pt idx="5">
                <c:v>1.2115095962728417E-2</c:v>
              </c:pt>
              <c:pt idx="6">
                <c:v>1.2922119000939997E-2</c:v>
              </c:pt>
              <c:pt idx="7">
                <c:v>1.377717526523955E-2</c:v>
              </c:pt>
              <c:pt idx="8">
                <c:v>1.46828414823855E-2</c:v>
              </c:pt>
              <c:pt idx="9">
                <c:v>1.5641826670521098E-2</c:v>
              </c:pt>
              <c:pt idx="10">
                <c:v>1.665697977558259E-2</c:v>
              </c:pt>
              <c:pt idx="11">
                <c:v>1.7731297890637539E-2</c:v>
              </c:pt>
              <c:pt idx="12">
                <c:v>1.8867935114018967E-2</c:v>
              </c:pt>
              <c:pt idx="13">
                <c:v>2.0070212108136601E-2</c:v>
              </c:pt>
              <c:pt idx="14">
                <c:v>2.1342030881626377E-2</c:v>
              </c:pt>
              <c:pt idx="15">
                <c:v>2.2686762794032433E-2</c:v>
              </c:pt>
              <c:pt idx="16">
                <c:v>2.4108265899022492E-2</c:v>
              </c:pt>
              <c:pt idx="17">
                <c:v>2.5610644994470851E-2</c:v>
              </c:pt>
              <c:pt idx="18">
                <c:v>2.7198232908917701E-2</c:v>
              </c:pt>
              <c:pt idx="19">
                <c:v>2.8875606048897915E-2</c:v>
              </c:pt>
            </c:numLit>
          </c:yVal>
          <c:smooth val="1"/>
          <c:extLst>
            <c:ext xmlns:c16="http://schemas.microsoft.com/office/drawing/2014/chart" uri="{C3380CC4-5D6E-409C-BE32-E72D297353CC}">
              <c16:uniqueId val="{00000044-A7BE-467A-B563-E2660BEB21C7}"/>
            </c:ext>
          </c:extLst>
        </c:ser>
        <c:ser>
          <c:idx val="49"/>
          <c:order val="49"/>
          <c:tx>
            <c:v>RH=100_Label2</c:v>
          </c:tx>
          <c:spPr>
            <a:ln w="3175">
              <a:solidFill>
                <a:srgbClr val="0000FF"/>
              </a:solidFill>
              <a:prstDash val="solid"/>
            </a:ln>
          </c:spPr>
          <c:marker>
            <c:symbol val="none"/>
          </c:marker>
          <c:dLbls>
            <c:dLbl>
              <c:idx val="0"/>
              <c:tx>
                <c:rich>
                  <a:bodyPr rot="-43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29.329624084266417</c:v>
              </c:pt>
            </c:numLit>
          </c:xVal>
          <c:yVal>
            <c:numLit>
              <c:formatCode>General</c:formatCode>
              <c:ptCount val="1"/>
              <c:pt idx="0">
                <c:v>2.9397042102246244E-2</c:v>
              </c:pt>
            </c:numLit>
          </c:yVal>
          <c:smooth val="0"/>
          <c:extLst>
            <c:ext xmlns:c16="http://schemas.microsoft.com/office/drawing/2014/chart" uri="{C3380CC4-5D6E-409C-BE32-E72D297353CC}">
              <c16:uniqueId val="{00000046-A7BE-467A-B563-E2660BEB21C7}"/>
            </c:ext>
          </c:extLst>
        </c:ser>
        <c:ser>
          <c:idx val="50"/>
          <c:order val="50"/>
          <c:tx>
            <c:v>RH=100_3</c:v>
          </c:tx>
          <c:spPr>
            <a:ln w="3175">
              <a:solidFill>
                <a:srgbClr val="0000FF"/>
              </a:solidFill>
              <a:prstDash val="solid"/>
            </a:ln>
          </c:spPr>
          <c:marker>
            <c:symbol val="none"/>
          </c:marker>
          <c:xVal>
            <c:numLit>
              <c:formatCode>General</c:formatCode>
              <c:ptCount val="5"/>
              <c:pt idx="0">
                <c:v>29.612136689703654</c:v>
              </c:pt>
              <c:pt idx="1">
                <c:v>30.554114982477955</c:v>
              </c:pt>
              <c:pt idx="2">
                <c:v>31.496682341889045</c:v>
              </c:pt>
              <c:pt idx="3">
                <c:v>32.440083574702477</c:v>
              </c:pt>
              <c:pt idx="4">
                <c:v>31.638133096671265</c:v>
              </c:pt>
            </c:numLit>
          </c:xVal>
          <c:yVal>
            <c:numLit>
              <c:formatCode>General</c:formatCode>
              <c:ptCount val="5"/>
              <c:pt idx="0">
                <c:v>2.9927127618911493E-2</c:v>
              </c:pt>
              <c:pt idx="1">
                <c:v>3.1758333134646037E-2</c:v>
              </c:pt>
              <c:pt idx="2">
                <c:v>3.3692488414038532E-2</c:v>
              </c:pt>
              <c:pt idx="3">
                <c:v>3.5735198382473903E-2</c:v>
              </c:pt>
              <c:pt idx="4">
                <c:v>3.4000000000000002E-2</c:v>
              </c:pt>
            </c:numLit>
          </c:yVal>
          <c:smooth val="1"/>
          <c:extLst>
            <c:ext xmlns:c16="http://schemas.microsoft.com/office/drawing/2014/chart" uri="{C3380CC4-5D6E-409C-BE32-E72D297353CC}">
              <c16:uniqueId val="{00000047-A7BE-467A-B563-E2660BEB21C7}"/>
            </c:ext>
          </c:extLst>
        </c:ser>
        <c:ser>
          <c:idx val="51"/>
          <c:order val="51"/>
          <c:tx>
            <c:v>RH=5_1</c:v>
          </c:tx>
          <c:spPr>
            <a:ln w="3175">
              <a:solidFill>
                <a:srgbClr val="0000FF"/>
              </a:solidFill>
              <a:prstDash val="solid"/>
            </a:ln>
          </c:spPr>
          <c:marker>
            <c:symbol val="none"/>
          </c:marker>
          <c:xVal>
            <c:numLit>
              <c:formatCode>General</c:formatCode>
              <c:ptCount val="60"/>
              <c:pt idx="0">
                <c:v>4.969667262433906</c:v>
              </c:pt>
              <c:pt idx="1">
                <c:v>5.9680174260085233</c:v>
              </c:pt>
              <c:pt idx="2">
                <c:v>6.9663059596951316</c:v>
              </c:pt>
              <c:pt idx="3">
                <c:v>7.9645326079972234</c:v>
              </c:pt>
              <c:pt idx="4">
                <c:v>8.9626972999414587</c:v>
              </c:pt>
              <c:pt idx="5">
                <c:v>9.9608001659798227</c:v>
              </c:pt>
              <c:pt idx="6">
                <c:v>10.958840735227474</c:v>
              </c:pt>
              <c:pt idx="7">
                <c:v>11.956820334985249</c:v>
              </c:pt>
              <c:pt idx="8">
                <c:v>12.954739806293686</c:v>
              </c:pt>
              <c:pt idx="9">
                <c:v>13.952600267929238</c:v>
              </c:pt>
              <c:pt idx="10">
                <c:v>14.950403137749454</c:v>
              </c:pt>
              <c:pt idx="11">
                <c:v>15.948150154986955</c:v>
              </c:pt>
              <c:pt idx="12">
                <c:v>16.945843403513457</c:v>
              </c:pt>
              <c:pt idx="13">
                <c:v>17.943485336095026</c:v>
              </c:pt>
              <c:pt idx="14">
                <c:v>18.941078799659849</c:v>
              </c:pt>
              <c:pt idx="15">
                <c:v>19.938627061599703</c:v>
              </c:pt>
              <c:pt idx="16">
                <c:v>20.936133837126466</c:v>
              </c:pt>
              <c:pt idx="17">
                <c:v>21.933603317705028</c:v>
              </c:pt>
              <c:pt idx="18">
                <c:v>22.931040200584029</c:v>
              </c:pt>
              <c:pt idx="19">
                <c:v>23.928449719445986</c:v>
              </c:pt>
              <c:pt idx="20">
                <c:v>24.925837676198636</c:v>
              </c:pt>
              <c:pt idx="21">
                <c:v>25.923208942039512</c:v>
              </c:pt>
              <c:pt idx="22">
                <c:v>26.920571981861503</c:v>
              </c:pt>
              <c:pt idx="23">
                <c:v>27.917934504661257</c:v>
              </c:pt>
              <c:pt idx="24">
                <c:v>28.915304927346888</c:v>
              </c:pt>
              <c:pt idx="25">
                <c:v>29.912692412644059</c:v>
              </c:pt>
              <c:pt idx="26">
                <c:v>30.910106908284387</c:v>
              </c:pt>
              <c:pt idx="27">
                <c:v>31.90755918750051</c:v>
              </c:pt>
              <c:pt idx="28">
                <c:v>32.905060890852937</c:v>
              </c:pt>
              <c:pt idx="29">
                <c:v>33.902624569414407</c:v>
              </c:pt>
              <c:pt idx="30">
                <c:v>34.900263729338292</c:v>
              </c:pt>
              <c:pt idx="31">
                <c:v>35.897992877838554</c:v>
              </c:pt>
              <c:pt idx="32">
                <c:v>36.895827570609605</c:v>
              </c:pt>
              <c:pt idx="33">
                <c:v>37.893784460715636</c:v>
              </c:pt>
              <c:pt idx="34">
                <c:v>38.891881348980185</c:v>
              </c:pt>
              <c:pt idx="35">
                <c:v>39.890137235907822</c:v>
              </c:pt>
              <c:pt idx="36">
                <c:v>40.888571261964742</c:v>
              </c:pt>
              <c:pt idx="37">
                <c:v>41.887206074649896</c:v>
              </c:pt>
              <c:pt idx="38">
                <c:v>42.886064607537854</c:v>
              </c:pt>
              <c:pt idx="39">
                <c:v>43.885171218565034</c:v>
              </c:pt>
              <c:pt idx="40">
                <c:v>44.884551750225931</c:v>
              </c:pt>
              <c:pt idx="41">
                <c:v>45.884233591533871</c:v>
              </c:pt>
              <c:pt idx="42">
                <c:v>46.884245741792334</c:v>
              </c:pt>
              <c:pt idx="43">
                <c:v>47.884618876224948</c:v>
              </c:pt>
              <c:pt idx="44">
                <c:v>48.8853854135156</c:v>
              </c:pt>
              <c:pt idx="45">
                <c:v>49.886579585312866</c:v>
              </c:pt>
              <c:pt idx="46">
                <c:v>50.88823750775645</c:v>
              </c:pt>
              <c:pt idx="47">
                <c:v>51.890397255086775</c:v>
              </c:pt>
              <c:pt idx="48">
                <c:v>52.893098935402747</c:v>
              </c:pt>
              <c:pt idx="49">
                <c:v>53.896384768636814</c:v>
              </c:pt>
              <c:pt idx="50">
                <c:v>54.90029916682078</c:v>
              </c:pt>
              <c:pt idx="51">
                <c:v>55.90488881672055</c:v>
              </c:pt>
              <c:pt idx="52">
                <c:v>56.910202764923007</c:v>
              </c:pt>
              <c:pt idx="53">
                <c:v>57.91629250546363</c:v>
              </c:pt>
              <c:pt idx="54">
                <c:v>58.9232120700891</c:v>
              </c:pt>
              <c:pt idx="55">
                <c:v>59.931018121255313</c:v>
              </c:pt>
              <c:pt idx="56">
                <c:v>60.93977125810531</c:v>
              </c:pt>
              <c:pt idx="57">
                <c:v>61.949532093553621</c:v>
              </c:pt>
              <c:pt idx="58">
                <c:v>62.96036570395291</c:v>
              </c:pt>
              <c:pt idx="59">
                <c:v>63.162667097615845</c:v>
              </c:pt>
            </c:numLit>
          </c:xVal>
          <c:yVal>
            <c:numLit>
              <c:formatCode>General</c:formatCode>
              <c:ptCount val="60"/>
              <c:pt idx="0">
                <c:v>2.6894706496995591E-4</c:v>
              </c:pt>
              <c:pt idx="1">
                <c:v>2.883016974500513E-4</c:v>
              </c:pt>
              <c:pt idx="2">
                <c:v>3.0887738788679987E-4</c:v>
              </c:pt>
              <c:pt idx="3">
                <c:v>3.3073967700030329E-4</c:v>
              </c:pt>
              <c:pt idx="4">
                <c:v>3.539569539605077E-4</c:v>
              </c:pt>
              <c:pt idx="5">
                <c:v>3.7860054746830814E-4</c:v>
              </c:pt>
              <c:pt idx="6">
                <c:v>4.0475288720587759E-4</c:v>
              </c:pt>
              <c:pt idx="7">
                <c:v>4.324844982560534E-4</c:v>
              </c:pt>
              <c:pt idx="8">
                <c:v>4.6187619059190967E-4</c:v>
              </c:pt>
              <c:pt idx="9">
                <c:v>4.930121015631261E-4</c:v>
              </c:pt>
              <c:pt idx="10">
                <c:v>5.2597979574161853E-4</c:v>
              </c:pt>
              <c:pt idx="11">
                <c:v>5.6087036648519981E-4</c:v>
              </c:pt>
              <c:pt idx="12">
                <c:v>5.9777853923045476E-4</c:v>
              </c:pt>
              <c:pt idx="13">
                <c:v>6.3680277652780669E-4</c:v>
              </c:pt>
              <c:pt idx="14">
                <c:v>6.780453848340256E-4</c:v>
              </c:pt>
              <c:pt idx="15">
                <c:v>7.2161262307971201E-4</c:v>
              </c:pt>
              <c:pt idx="16">
                <c:v>7.6761481303197878E-4</c:v>
              </c:pt>
              <c:pt idx="17">
                <c:v>8.1616645147532241E-4</c:v>
              </c:pt>
              <c:pt idx="18">
                <c:v>8.6738632423690452E-4</c:v>
              </c:pt>
              <c:pt idx="19">
                <c:v>9.2139762208571683E-4</c:v>
              </c:pt>
              <c:pt idx="20">
                <c:v>9.783280585388284E-4</c:v>
              </c:pt>
              <c:pt idx="21">
                <c:v>1.0383307030678828E-3</c:v>
              </c:pt>
              <c:pt idx="22">
                <c:v>1.1015244864534207E-3</c:v>
              </c:pt>
              <c:pt idx="23">
                <c:v>1.1680516173001498E-3</c:v>
              </c:pt>
              <c:pt idx="24">
                <c:v>1.2380593299771872E-3</c:v>
              </c:pt>
              <c:pt idx="25">
                <c:v>1.3117000131433135E-3</c:v>
              </c:pt>
              <c:pt idx="26">
                <c:v>1.3891313404901472E-3</c:v>
              </c:pt>
              <c:pt idx="27">
                <c:v>1.4705164037711607E-3</c:v>
              </c:pt>
              <c:pt idx="28">
                <c:v>1.5560238481906713E-3</c:v>
              </c:pt>
              <c:pt idx="29">
                <c:v>1.6458280102336351E-3</c:v>
              </c:pt>
              <c:pt idx="30">
                <c:v>1.7401090580242489E-3</c:v>
              </c:pt>
              <c:pt idx="31">
                <c:v>1.8390531343085432E-3</c:v>
              </c:pt>
              <c:pt idx="32">
                <c:v>1.9428525021642465E-3</c:v>
              </c:pt>
              <c:pt idx="33">
                <c:v>2.0517056935495715E-3</c:v>
              </c:pt>
              <c:pt idx="34">
                <c:v>2.1658176608111267E-3</c:v>
              </c:pt>
              <c:pt idx="35">
                <c:v>2.2853999312806269E-3</c:v>
              </c:pt>
              <c:pt idx="36">
                <c:v>2.4106948486765866E-3</c:v>
              </c:pt>
              <c:pt idx="37">
                <c:v>2.5419061134005754E-3</c:v>
              </c:pt>
              <c:pt idx="38">
                <c:v>2.6792661247527954E-3</c:v>
              </c:pt>
              <c:pt idx="39">
                <c:v>2.8230145191489361E-3</c:v>
              </c:pt>
              <c:pt idx="40">
                <c:v>2.9733983428754376E-3</c:v>
              </c:pt>
              <c:pt idx="41">
                <c:v>3.1306722289495314E-3</c:v>
              </c:pt>
              <c:pt idx="42">
                <c:v>3.295098578294037E-3</c:v>
              </c:pt>
              <c:pt idx="43">
                <c:v>3.4669477454511402E-3</c:v>
              </c:pt>
              <c:pt idx="44">
                <c:v>3.6464982290737246E-3</c:v>
              </c:pt>
              <c:pt idx="45">
                <c:v>3.8340368674482672E-3</c:v>
              </c:pt>
              <c:pt idx="46">
                <c:v>4.0298590393194065E-3</c:v>
              </c:pt>
              <c:pt idx="47">
                <c:v>4.2342688703035473E-3</c:v>
              </c:pt>
              <c:pt idx="48">
                <c:v>4.4475794451958621E-3</c:v>
              </c:pt>
              <c:pt idx="49">
                <c:v>4.6701130264946503E-3</c:v>
              </c:pt>
              <c:pt idx="50">
                <c:v>4.9022012794862225E-3</c:v>
              </c:pt>
              <c:pt idx="51">
                <c:v>5.144185504253997E-3</c:v>
              </c:pt>
              <c:pt idx="52">
                <c:v>5.3964168749974072E-3</c:v>
              </c:pt>
              <c:pt idx="53">
                <c:v>5.6592566870691356E-3</c:v>
              </c:pt>
              <c:pt idx="54">
                <c:v>5.9330766121630961E-3</c:v>
              </c:pt>
              <c:pt idx="55">
                <c:v>6.2182589621106454E-3</c:v>
              </c:pt>
              <c:pt idx="56">
                <c:v>6.5150660587161143E-3</c:v>
              </c:pt>
              <c:pt idx="57">
                <c:v>6.824020683475371E-3</c:v>
              </c:pt>
              <c:pt idx="58">
                <c:v>7.1455379611767922E-3</c:v>
              </c:pt>
              <c:pt idx="59">
                <c:v>7.2113862900277824E-3</c:v>
              </c:pt>
            </c:numLit>
          </c:yVal>
          <c:smooth val="1"/>
          <c:extLst>
            <c:ext xmlns:c16="http://schemas.microsoft.com/office/drawing/2014/chart" uri="{C3380CC4-5D6E-409C-BE32-E72D297353CC}">
              <c16:uniqueId val="{00000048-A7BE-467A-B563-E2660BEB21C7}"/>
            </c:ext>
          </c:extLst>
        </c:ser>
        <c:ser>
          <c:idx val="52"/>
          <c:order val="52"/>
          <c:tx>
            <c:v>RH=5_Label</c:v>
          </c:tx>
          <c:spPr>
            <a:ln w="3175">
              <a:solidFill>
                <a:srgbClr val="0000FF"/>
              </a:solidFill>
              <a:prstDash val="solid"/>
            </a:ln>
          </c:spPr>
          <c:marker>
            <c:symbol val="none"/>
          </c:marker>
          <c:dLbls>
            <c:dLbl>
              <c:idx val="0"/>
              <c:tx>
                <c:rich>
                  <a:bodyPr rot="-17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63.466205960785608</c:v>
              </c:pt>
            </c:numLit>
          </c:xVal>
          <c:yVal>
            <c:numLit>
              <c:formatCode>General</c:formatCode>
              <c:ptCount val="1"/>
              <c:pt idx="0">
                <c:v>7.3111405268107901E-3</c:v>
              </c:pt>
            </c:numLit>
          </c:yVal>
          <c:smooth val="0"/>
          <c:extLst>
            <c:ext xmlns:c16="http://schemas.microsoft.com/office/drawing/2014/chart" uri="{C3380CC4-5D6E-409C-BE32-E72D297353CC}">
              <c16:uniqueId val="{0000004A-A7BE-467A-B563-E2660BEB21C7}"/>
            </c:ext>
          </c:extLst>
        </c:ser>
        <c:ser>
          <c:idx val="53"/>
          <c:order val="53"/>
          <c:tx>
            <c:v>RH=5_2</c:v>
          </c:tx>
          <c:spPr>
            <a:ln w="3175">
              <a:solidFill>
                <a:srgbClr val="0000FF"/>
              </a:solidFill>
              <a:prstDash val="solid"/>
            </a:ln>
          </c:spPr>
          <c:marker>
            <c:symbol val="none"/>
          </c:marker>
          <c:xVal>
            <c:numLit>
              <c:formatCode>General</c:formatCode>
              <c:ptCount val="4"/>
              <c:pt idx="0">
                <c:v>63.76985065101357</c:v>
              </c:pt>
              <c:pt idx="1">
                <c:v>64.782788978692651</c:v>
              </c:pt>
              <c:pt idx="2">
                <c:v>65.796998744061227</c:v>
              </c:pt>
              <c:pt idx="3">
                <c:v>66</c:v>
              </c:pt>
            </c:numLit>
          </c:xVal>
          <c:yVal>
            <c:numLit>
              <c:formatCode>General</c:formatCode>
              <c:ptCount val="4"/>
              <c:pt idx="0">
                <c:v>7.4120833529713447E-3</c:v>
              </c:pt>
              <c:pt idx="1">
                <c:v>7.7572972379989684E-3</c:v>
              </c:pt>
              <c:pt idx="2">
                <c:v>8.1162996623848956E-3</c:v>
              </c:pt>
              <c:pt idx="3">
                <c:v>8.1897951566830135E-3</c:v>
              </c:pt>
            </c:numLit>
          </c:yVal>
          <c:smooth val="1"/>
          <c:extLst>
            <c:ext xmlns:c16="http://schemas.microsoft.com/office/drawing/2014/chart" uri="{C3380CC4-5D6E-409C-BE32-E72D297353CC}">
              <c16:uniqueId val="{0000004B-A7BE-467A-B563-E2660BEB21C7}"/>
            </c:ext>
          </c:extLst>
        </c:ser>
        <c:ser>
          <c:idx val="54"/>
          <c:order val="54"/>
          <c:tx>
            <c:v>RH=15_1</c:v>
          </c:tx>
          <c:spPr>
            <a:ln w="3175">
              <a:solidFill>
                <a:srgbClr val="0000FF"/>
              </a:solidFill>
              <a:prstDash val="solid"/>
            </a:ln>
          </c:spPr>
          <c:marker>
            <c:symbol val="none"/>
          </c:marker>
          <c:xVal>
            <c:numLit>
              <c:formatCode>General</c:formatCode>
              <c:ptCount val="55"/>
              <c:pt idx="0">
                <c:v>4.9089230230789784</c:v>
              </c:pt>
              <c:pt idx="1">
                <c:v>5.9039632476428494</c:v>
              </c:pt>
              <c:pt idx="2">
                <c:v>6.8988173838212878</c:v>
              </c:pt>
              <c:pt idx="3">
                <c:v>7.8934845441837922</c:v>
              </c:pt>
              <c:pt idx="4">
                <c:v>8.8879643851616432</c:v>
              </c:pt>
              <c:pt idx="5">
                <c:v>9.8822571573024494</c:v>
              </c:pt>
              <c:pt idx="6">
                <c:v>10.876361290139201</c:v>
              </c:pt>
              <c:pt idx="7">
                <c:v>11.870280608074403</c:v>
              </c:pt>
              <c:pt idx="8">
                <c:v>12.864017460305476</c:v>
              </c:pt>
              <c:pt idx="9">
                <c:v>13.857575017621352</c:v>
              </c:pt>
              <c:pt idx="10">
                <c:v>14.850957336236743</c:v>
              </c:pt>
              <c:pt idx="11">
                <c:v>15.844169424567436</c:v>
              </c:pt>
              <c:pt idx="12">
                <c:v>16.83721731302974</c:v>
              </c:pt>
              <c:pt idx="13">
                <c:v>17.830108126949771</c:v>
              </c:pt>
              <c:pt idx="14">
                <c:v>18.822850162670907</c:v>
              </c:pt>
              <c:pt idx="15">
                <c:v>19.815452966950939</c:v>
              </c:pt>
              <c:pt idx="16">
                <c:v>20.807927419743709</c:v>
              </c:pt>
              <c:pt idx="17">
                <c:v>21.800285820463809</c:v>
              </c:pt>
              <c:pt idx="18">
                <c:v>22.792541977837242</c:v>
              </c:pt>
              <c:pt idx="19">
                <c:v>23.784711303445306</c:v>
              </c:pt>
              <c:pt idx="20">
                <c:v>24.776810909074346</c:v>
              </c:pt>
              <c:pt idx="21">
                <c:v>25.768855081478002</c:v>
              </c:pt>
              <c:pt idx="22">
                <c:v>26.76086894499748</c:v>
              </c:pt>
              <c:pt idx="23">
                <c:v>27.752875335056597</c:v>
              </c:pt>
              <c:pt idx="24">
                <c:v>28.744899219155009</c:v>
              </c:pt>
              <c:pt idx="25">
                <c:v>29.736967815378318</c:v>
              </c:pt>
              <c:pt idx="26">
                <c:v>30.729110715544689</c:v>
              </c:pt>
              <c:pt idx="27">
                <c:v>31.721360013154595</c:v>
              </c:pt>
              <c:pt idx="28">
                <c:v>32.713750436320936</c:v>
              </c:pt>
              <c:pt idx="29">
                <c:v>33.706319485868811</c:v>
              </c:pt>
              <c:pt idx="30">
                <c:v>34.699107578806831</c:v>
              </c:pt>
              <c:pt idx="31">
                <c:v>35.692158197385979</c:v>
              </c:pt>
              <c:pt idx="32">
                <c:v>36.685518043977282</c:v>
              </c:pt>
              <c:pt idx="33">
                <c:v>37.679237202016054</c:v>
              </c:pt>
              <c:pt idx="34">
                <c:v>38.673369303278299</c:v>
              </c:pt>
              <c:pt idx="35">
                <c:v>39.667971701774896</c:v>
              </c:pt>
              <c:pt idx="36">
                <c:v>40.66310226256499</c:v>
              </c:pt>
              <c:pt idx="37">
                <c:v>41.658829635781203</c:v>
              </c:pt>
              <c:pt idx="38">
                <c:v>42.655223476103743</c:v>
              </c:pt>
              <c:pt idx="39">
                <c:v>43.652357931696621</c:v>
              </c:pt>
              <c:pt idx="40">
                <c:v>44.650311856529036</c:v>
              </c:pt>
              <c:pt idx="41">
                <c:v>45.649169031555331</c:v>
              </c:pt>
              <c:pt idx="42">
                <c:v>46.649018395231728</c:v>
              </c:pt>
              <c:pt idx="43">
                <c:v>47.649954283884682</c:v>
              </c:pt>
              <c:pt idx="44">
                <c:v>48.652076682486502</c:v>
              </c:pt>
              <c:pt idx="45">
                <c:v>49.655491486437477</c:v>
              </c:pt>
              <c:pt idx="46">
                <c:v>50.660310775001172</c:v>
              </c:pt>
              <c:pt idx="47">
                <c:v>51.666653097090929</c:v>
              </c:pt>
              <c:pt idx="48">
                <c:v>52.674643770161431</c:v>
              </c:pt>
              <c:pt idx="49">
                <c:v>53.68441519301922</c:v>
              </c:pt>
              <c:pt idx="50">
                <c:v>54.69610717343182</c:v>
              </c:pt>
              <c:pt idx="51">
                <c:v>55.709867271486033</c:v>
              </c:pt>
              <c:pt idx="52">
                <c:v>56.725851159723092</c:v>
              </c:pt>
              <c:pt idx="53">
                <c:v>57.74422300116187</c:v>
              </c:pt>
              <c:pt idx="54">
                <c:v>58.223731558499935</c:v>
              </c:pt>
            </c:numLit>
          </c:xVal>
          <c:yVal>
            <c:numLit>
              <c:formatCode>General</c:formatCode>
              <c:ptCount val="55"/>
              <c:pt idx="0">
                <c:v>8.0753956268771263E-4</c:v>
              </c:pt>
              <c:pt idx="1">
                <c:v>8.6570764221589327E-4</c:v>
              </c:pt>
              <c:pt idx="2">
                <c:v>9.2755341603594442E-4</c:v>
              </c:pt>
              <c:pt idx="3">
                <c:v>9.9327538516040146E-4</c:v>
              </c:pt>
              <c:pt idx="4">
                <c:v>1.0630808199149999E-3</c:v>
              </c:pt>
              <c:pt idx="5">
                <c:v>1.137186057543544E-3</c:v>
              </c:pt>
              <c:pt idx="6">
                <c:v>1.2158410764414958E-3</c:v>
              </c:pt>
              <c:pt idx="7">
                <c:v>1.2992603372874558E-3</c:v>
              </c:pt>
              <c:pt idx="8">
                <c:v>1.3876895408063471E-3</c:v>
              </c:pt>
              <c:pt idx="9">
                <c:v>1.4813847422758377E-3</c:v>
              </c:pt>
              <c:pt idx="10">
                <c:v>1.5806126897094368E-3</c:v>
              </c:pt>
              <c:pt idx="11">
                <c:v>1.6856511708081745E-3</c:v>
              </c:pt>
              <c:pt idx="12">
                <c:v>1.7967893690155705E-3</c:v>
              </c:pt>
              <c:pt idx="13">
                <c:v>1.9143282290381843E-3</c:v>
              </c:pt>
              <c:pt idx="14">
                <c:v>2.0385808322245149E-3</c:v>
              </c:pt>
              <c:pt idx="15">
                <c:v>2.1698727822271171E-3</c:v>
              </c:pt>
              <c:pt idx="16">
                <c:v>2.3085426014077663E-3</c:v>
              </c:pt>
              <c:pt idx="17">
                <c:v>2.4549421384825049E-3</c:v>
              </c:pt>
              <c:pt idx="18">
                <c:v>2.6094369879436801E-3</c:v>
              </c:pt>
              <c:pt idx="19">
                <c:v>2.7724069218384747E-3</c:v>
              </c:pt>
              <c:pt idx="20">
                <c:v>2.9442463345293766E-3</c:v>
              </c:pt>
              <c:pt idx="21">
                <c:v>3.1254272585097861E-3</c:v>
              </c:pt>
              <c:pt idx="22">
                <c:v>3.3163198419152674E-3</c:v>
              </c:pt>
              <c:pt idx="23">
                <c:v>3.517365774378339E-3</c:v>
              </c:pt>
              <c:pt idx="24">
                <c:v>3.729023329410901E-3</c:v>
              </c:pt>
              <c:pt idx="25">
                <c:v>3.9517678872373575E-3</c:v>
              </c:pt>
              <c:pt idx="26">
                <c:v>4.1860924756074117E-3</c:v>
              </c:pt>
              <c:pt idx="27">
                <c:v>4.4325083296407235E-3</c:v>
              </c:pt>
              <c:pt idx="28">
                <c:v>4.6915454718334821E-3</c:v>
              </c:pt>
              <c:pt idx="29">
                <c:v>4.9637533134403835E-3</c:v>
              </c:pt>
              <c:pt idx="30">
                <c:v>5.2497012785349493E-3</c:v>
              </c:pt>
              <c:pt idx="31">
                <c:v>5.5499794521452683E-3</c:v>
              </c:pt>
              <c:pt idx="32">
                <c:v>5.8651992539645445E-3</c:v>
              </c:pt>
              <c:pt idx="33">
                <c:v>6.1959941392444491E-3</c:v>
              </c:pt>
              <c:pt idx="34">
                <c:v>6.5430203285947253E-3</c:v>
              </c:pt>
              <c:pt idx="35">
                <c:v>6.906957568537187E-3</c:v>
              </c:pt>
              <c:pt idx="36">
                <c:v>7.2885833088089363E-3</c:v>
              </c:pt>
              <c:pt idx="37">
                <c:v>7.6885615233894828E-3</c:v>
              </c:pt>
              <c:pt idx="38">
                <c:v>8.1076480373922614E-3</c:v>
              </c:pt>
              <c:pt idx="39">
                <c:v>8.5466256283771892E-3</c:v>
              </c:pt>
              <c:pt idx="40">
                <c:v>9.0063049752121399E-3</c:v>
              </c:pt>
              <c:pt idx="41">
                <c:v>9.487525652025099E-3</c:v>
              </c:pt>
              <c:pt idx="42">
                <c:v>9.991157170256967E-3</c:v>
              </c:pt>
              <c:pt idx="43">
                <c:v>1.0518100072043316E-2</c:v>
              </c:pt>
              <c:pt idx="44">
                <c:v>1.1069287078386307E-2</c:v>
              </c:pt>
              <c:pt idx="45">
                <c:v>1.1645684295829718E-2</c:v>
              </c:pt>
              <c:pt idx="46">
                <c:v>1.2248292485620866E-2</c:v>
              </c:pt>
              <c:pt idx="47">
                <c:v>1.2878148399636094E-2</c:v>
              </c:pt>
              <c:pt idx="48">
                <c:v>1.353632618765903E-2</c:v>
              </c:pt>
              <c:pt idx="49">
                <c:v>1.4223938880943671E-2</c:v>
              </c:pt>
              <c:pt idx="50">
                <c:v>1.4942139957360349E-2</c:v>
              </c:pt>
              <c:pt idx="51">
                <c:v>1.569212499381974E-2</c:v>
              </c:pt>
              <c:pt idx="52">
                <c:v>1.6475133412100794E-2</c:v>
              </c:pt>
              <c:pt idx="53">
                <c:v>1.7292450324674809E-2</c:v>
              </c:pt>
              <c:pt idx="54">
                <c:v>1.7688818357327777E-2</c:v>
              </c:pt>
            </c:numLit>
          </c:yVal>
          <c:smooth val="1"/>
          <c:extLst>
            <c:ext xmlns:c16="http://schemas.microsoft.com/office/drawing/2014/chart" uri="{C3380CC4-5D6E-409C-BE32-E72D297353CC}">
              <c16:uniqueId val="{0000004C-A7BE-467A-B563-E2660BEB21C7}"/>
            </c:ext>
          </c:extLst>
        </c:ser>
        <c:ser>
          <c:idx val="55"/>
          <c:order val="55"/>
          <c:tx>
            <c:v>RH=15_Label</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15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D-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58.530105141357907</c:v>
              </c:pt>
            </c:numLit>
          </c:xVal>
          <c:yVal>
            <c:numLit>
              <c:formatCode>General</c:formatCode>
              <c:ptCount val="1"/>
              <c:pt idx="0">
                <c:v>1.7946000668804255E-2</c:v>
              </c:pt>
            </c:numLit>
          </c:yVal>
          <c:smooth val="0"/>
          <c:extLst>
            <c:ext xmlns:c16="http://schemas.microsoft.com/office/drawing/2014/chart" uri="{C3380CC4-5D6E-409C-BE32-E72D297353CC}">
              <c16:uniqueId val="{0000004E-A7BE-467A-B563-E2660BEB21C7}"/>
            </c:ext>
          </c:extLst>
        </c:ser>
        <c:ser>
          <c:idx val="56"/>
          <c:order val="56"/>
          <c:tx>
            <c:v>RH=15_2</c:v>
          </c:tx>
          <c:spPr>
            <a:ln w="3175">
              <a:solidFill>
                <a:srgbClr val="0000FF"/>
              </a:solidFill>
              <a:prstDash val="solid"/>
            </a:ln>
          </c:spPr>
          <c:marker>
            <c:symbol val="none"/>
          </c:marker>
          <c:xVal>
            <c:numLit>
              <c:formatCode>General</c:formatCode>
              <c:ptCount val="8"/>
              <c:pt idx="0">
                <c:v>58.836721709837747</c:v>
              </c:pt>
              <c:pt idx="1">
                <c:v>59.860597328495025</c:v>
              </c:pt>
              <c:pt idx="2">
                <c:v>60.887425639211948</c:v>
              </c:pt>
              <c:pt idx="3">
                <c:v>61.917405046943003</c:v>
              </c:pt>
              <c:pt idx="4">
                <c:v>62.950749107926548</c:v>
              </c:pt>
              <c:pt idx="5">
                <c:v>63.987682604135316</c:v>
              </c:pt>
              <c:pt idx="6">
                <c:v>65.02844208691846</c:v>
              </c:pt>
              <c:pt idx="7">
                <c:v>66</c:v>
              </c:pt>
            </c:numLit>
          </c:xVal>
          <c:yVal>
            <c:numLit>
              <c:formatCode>General</c:formatCode>
              <c:ptCount val="8"/>
              <c:pt idx="0">
                <c:v>1.8206485740913072E-2</c:v>
              </c:pt>
              <c:pt idx="1">
                <c:v>1.9099084981958392E-2</c:v>
              </c:pt>
              <c:pt idx="2">
                <c:v>2.0029859642825561E-2</c:v>
              </c:pt>
              <c:pt idx="3">
                <c:v>2.100064608817407E-2</c:v>
              </c:pt>
              <c:pt idx="4">
                <c:v>2.2012990830101435E-2</c:v>
              </c:pt>
              <c:pt idx="5">
                <c:v>2.3068499704681871E-2</c:v>
              </c:pt>
              <c:pt idx="6">
                <c:v>2.4168840652107851E-2</c:v>
              </c:pt>
              <c:pt idx="7">
                <c:v>2.5233910232274368E-2</c:v>
              </c:pt>
            </c:numLit>
          </c:yVal>
          <c:smooth val="1"/>
          <c:extLst>
            <c:ext xmlns:c16="http://schemas.microsoft.com/office/drawing/2014/chart" uri="{C3380CC4-5D6E-409C-BE32-E72D297353CC}">
              <c16:uniqueId val="{0000004F-A7BE-467A-B563-E2660BEB21C7}"/>
            </c:ext>
          </c:extLst>
        </c:ser>
        <c:ser>
          <c:idx val="57"/>
          <c:order val="57"/>
          <c:tx>
            <c:v>RH=25_1</c:v>
          </c:tx>
          <c:spPr>
            <a:ln w="3175">
              <a:solidFill>
                <a:srgbClr val="0000FF"/>
              </a:solidFill>
              <a:prstDash val="solid"/>
            </a:ln>
          </c:spPr>
          <c:marker>
            <c:symbol val="none"/>
          </c:marker>
          <c:xVal>
            <c:numLit>
              <c:formatCode>General</c:formatCode>
              <c:ptCount val="47"/>
              <c:pt idx="0">
                <c:v>4.848073537313546</c:v>
              </c:pt>
              <c:pt idx="1">
                <c:v>5.8397900864719636</c:v>
              </c:pt>
              <c:pt idx="2">
                <c:v>6.83119448089115</c:v>
              </c:pt>
              <c:pt idx="3">
                <c:v>7.8222850381914206</c:v>
              </c:pt>
              <c:pt idx="4">
                <c:v>8.8130609659533601</c:v>
              </c:pt>
              <c:pt idx="5">
                <c:v>9.8035224446776557</c:v>
              </c:pt>
              <c:pt idx="6">
                <c:v>10.793666591067156</c:v>
              </c:pt>
              <c:pt idx="7">
                <c:v>11.78349951341422</c:v>
              </c:pt>
              <c:pt idx="8">
                <c:v>12.773024833421564</c:v>
              </c:pt>
              <c:pt idx="9">
                <c:v>13.762247522168154</c:v>
              </c:pt>
              <c:pt idx="10">
                <c:v>14.751174006085739</c:v>
              </c:pt>
              <c:pt idx="11">
                <c:v>15.739812277986312</c:v>
              </c:pt>
              <c:pt idx="12">
                <c:v>16.728172013311159</c:v>
              </c:pt>
              <c:pt idx="13">
                <c:v>17.716264691780498</c:v>
              </c:pt>
              <c:pt idx="14">
                <c:v>18.70410372463191</c:v>
              </c:pt>
              <c:pt idx="15">
                <c:v>19.691704587646136</c:v>
              </c:pt>
              <c:pt idx="16">
                <c:v>20.679084960169778</c:v>
              </c:pt>
              <c:pt idx="17">
                <c:v>21.666264870357402</c:v>
              </c:pt>
              <c:pt idx="18">
                <c:v>22.653266846868917</c:v>
              </c:pt>
              <c:pt idx="19">
                <c:v>23.640116077273497</c:v>
              </c:pt>
              <c:pt idx="20">
                <c:v>24.626840573428161</c:v>
              </c:pt>
              <c:pt idx="21">
                <c:v>25.613463581342319</c:v>
              </c:pt>
              <c:pt idx="22">
                <c:v>26.600026502435902</c:v>
              </c:pt>
              <c:pt idx="23">
                <c:v>27.586566885063601</c:v>
              </c:pt>
              <c:pt idx="24">
                <c:v>28.57312584234484</c:v>
              </c:pt>
              <c:pt idx="25">
                <c:v>29.559748257526294</c:v>
              </c:pt>
              <c:pt idx="26">
                <c:v>30.54648299841185</c:v>
              </c:pt>
              <c:pt idx="27">
                <c:v>31.533383141303378</c:v>
              </c:pt>
              <c:pt idx="28">
                <c:v>32.520506204930719</c:v>
              </c:pt>
              <c:pt idx="29">
                <c:v>33.507914394888203</c:v>
              </c:pt>
              <c:pt idx="30">
                <c:v>34.495674859136841</c:v>
              </c:pt>
              <c:pt idx="31">
                <c:v>35.483859955177699</c:v>
              </c:pt>
              <c:pt idx="32">
                <c:v>36.472547529552195</c:v>
              </c:pt>
              <c:pt idx="33">
                <c:v>37.4618212103803</c:v>
              </c:pt>
              <c:pt idx="34">
                <c:v>38.451770713707468</c:v>
              </c:pt>
              <c:pt idx="35">
                <c:v>39.442492164497175</c:v>
              </c:pt>
              <c:pt idx="36">
                <c:v>40.434082690460535</c:v>
              </c:pt>
              <c:pt idx="37">
                <c:v>41.426657840758764</c:v>
              </c:pt>
              <c:pt idx="38">
                <c:v>42.420335085869986</c:v>
              </c:pt>
              <c:pt idx="39">
                <c:v>43.415239760163161</c:v>
              </c:pt>
              <c:pt idx="40">
                <c:v>44.411505471894564</c:v>
              </c:pt>
              <c:pt idx="41">
                <c:v>45.409274534670296</c:v>
              </c:pt>
              <c:pt idx="42">
                <c:v>46.408698421882349</c:v>
              </c:pt>
              <c:pt idx="43">
                <c:v>47.409938245759996</c:v>
              </c:pt>
              <c:pt idx="44">
                <c:v>48.41316526282629</c:v>
              </c:pt>
              <c:pt idx="45">
                <c:v>49.418561407711678</c:v>
              </c:pt>
              <c:pt idx="46">
                <c:v>50.426319857454125</c:v>
              </c:pt>
            </c:numLit>
          </c:xVal>
          <c:yVal>
            <c:numLit>
              <c:formatCode>General</c:formatCode>
              <c:ptCount val="47"/>
              <c:pt idx="0">
                <c:v>1.3470652341139875E-3</c:v>
              </c:pt>
              <c:pt idx="1">
                <c:v>1.444186138075305E-3</c:v>
              </c:pt>
              <c:pt idx="2">
                <c:v>1.5474608367368606E-3</c:v>
              </c:pt>
              <c:pt idx="3">
                <c:v>1.6572233183113699E-3</c:v>
              </c:pt>
              <c:pt idx="4">
                <c:v>1.7738225641475147E-3</c:v>
              </c:pt>
              <c:pt idx="5">
                <c:v>1.8976230861585969E-3</c:v>
              </c:pt>
              <c:pt idx="6">
                <c:v>2.0290460350580602E-3</c:v>
              </c:pt>
              <c:pt idx="7">
                <c:v>2.1684536987783059E-3</c:v>
              </c:pt>
              <c:pt idx="8">
                <c:v>2.3162610831599165E-3</c:v>
              </c:pt>
              <c:pt idx="9">
                <c:v>2.4729010824941617E-3</c:v>
              </c:pt>
              <c:pt idx="10">
                <c:v>2.6388251094006578E-3</c:v>
              </c:pt>
              <c:pt idx="11">
                <c:v>2.8145037456534252E-3</c:v>
              </c:pt>
              <c:pt idx="12">
                <c:v>3.0004274150644203E-3</c:v>
              </c:pt>
              <c:pt idx="13">
                <c:v>3.1971070796238963E-3</c:v>
              </c:pt>
              <c:pt idx="14">
                <c:v>3.4050749601955599E-3</c:v>
              </c:pt>
              <c:pt idx="15">
                <c:v>3.6248852831695564E-3</c:v>
              </c:pt>
              <c:pt idx="16">
                <c:v>3.8571150545902433E-3</c:v>
              </c:pt>
              <c:pt idx="17">
                <c:v>4.1023648633974888E-3</c:v>
              </c:pt>
              <c:pt idx="18">
                <c:v>4.361259715552286E-3</c:v>
              </c:pt>
              <c:pt idx="19">
                <c:v>4.6344499009583016E-3</c:v>
              </c:pt>
              <c:pt idx="20">
                <c:v>4.9226118952435081E-3</c:v>
              </c:pt>
              <c:pt idx="21">
                <c:v>5.2265542630326326E-3</c:v>
              </c:pt>
              <c:pt idx="22">
                <c:v>5.5469167155980728E-3</c:v>
              </c:pt>
              <c:pt idx="23">
                <c:v>5.8844611435486405E-3</c:v>
              </c:pt>
              <c:pt idx="24">
                <c:v>6.2399796948719773E-3</c:v>
              </c:pt>
              <c:pt idx="25">
                <c:v>6.6142958920034235E-3</c:v>
              </c:pt>
              <c:pt idx="26">
                <c:v>7.0082658002715171E-3</c:v>
              </c:pt>
              <c:pt idx="27">
                <c:v>7.4227792512461021E-3</c:v>
              </c:pt>
              <c:pt idx="28">
                <c:v>7.8587611247914815E-3</c:v>
              </c:pt>
              <c:pt idx="29">
                <c:v>8.3171726939259092E-3</c:v>
              </c:pt>
              <c:pt idx="30">
                <c:v>8.7990130369118413E-3</c:v>
              </c:pt>
              <c:pt idx="31">
                <c:v>9.3053205213483765E-3</c:v>
              </c:pt>
              <c:pt idx="32">
                <c:v>9.8371743654150946E-3</c:v>
              </c:pt>
              <c:pt idx="33">
                <c:v>1.0395696281824395E-2</c:v>
              </c:pt>
              <c:pt idx="34">
                <c:v>1.0982052210479678E-2</c:v>
              </c:pt>
              <c:pt idx="35">
                <c:v>1.1597454146316129E-2</c:v>
              </c:pt>
              <c:pt idx="36">
                <c:v>1.224328630960655E-2</c:v>
              </c:pt>
              <c:pt idx="37">
                <c:v>1.2920748481108415E-2</c:v>
              </c:pt>
              <c:pt idx="38">
                <c:v>1.3631203918064553E-2</c:v>
              </c:pt>
              <c:pt idx="39">
                <c:v>1.4376070412411094E-2</c:v>
              </c:pt>
              <c:pt idx="40">
                <c:v>1.5156822715670027E-2</c:v>
              </c:pt>
              <c:pt idx="41">
                <c:v>1.597499511079788E-2</c:v>
              </c:pt>
              <c:pt idx="42">
                <c:v>1.6832184142228347E-2</c:v>
              </c:pt>
              <c:pt idx="43">
                <c:v>1.7730051516291617E-2</c:v>
              </c:pt>
              <c:pt idx="44">
                <c:v>1.867032718522291E-2</c:v>
              </c:pt>
              <c:pt idx="45">
                <c:v>1.9654812629101279E-2</c:v>
              </c:pt>
              <c:pt idx="46">
                <c:v>2.0685384351295671E-2</c:v>
              </c:pt>
            </c:numLit>
          </c:yVal>
          <c:smooth val="1"/>
          <c:extLst>
            <c:ext xmlns:c16="http://schemas.microsoft.com/office/drawing/2014/chart" uri="{C3380CC4-5D6E-409C-BE32-E72D297353CC}">
              <c16:uniqueId val="{00000050-A7BE-467A-B563-E2660BEB21C7}"/>
            </c:ext>
          </c:extLst>
        </c:ser>
        <c:ser>
          <c:idx val="58"/>
          <c:order val="58"/>
          <c:tx>
            <c:v>RH=25_Label</c:v>
          </c:tx>
          <c:spPr>
            <a:ln w="3175">
              <a:solidFill>
                <a:srgbClr val="0000FF"/>
              </a:solidFill>
              <a:prstDash val="solid"/>
            </a:ln>
          </c:spPr>
          <c:marker>
            <c:symbol val="none"/>
          </c:marker>
          <c:dLbls>
            <c:dLbl>
              <c:idx val="0"/>
              <c:tx>
                <c:rich>
                  <a:bodyPr rot="-36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25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50.698845963014648</c:v>
              </c:pt>
            </c:numLit>
          </c:xVal>
          <c:yVal>
            <c:numLit>
              <c:formatCode>General</c:formatCode>
              <c:ptCount val="1"/>
              <c:pt idx="0">
                <c:v>2.0971791939764065E-2</c:v>
              </c:pt>
            </c:numLit>
          </c:yVal>
          <c:smooth val="0"/>
          <c:extLst>
            <c:ext xmlns:c16="http://schemas.microsoft.com/office/drawing/2014/chart" uri="{C3380CC4-5D6E-409C-BE32-E72D297353CC}">
              <c16:uniqueId val="{00000052-A7BE-467A-B563-E2660BEB21C7}"/>
            </c:ext>
          </c:extLst>
        </c:ser>
        <c:ser>
          <c:idx val="59"/>
          <c:order val="59"/>
          <c:tx>
            <c:v>RH=25_2</c:v>
          </c:tx>
          <c:spPr>
            <a:ln w="3175">
              <a:solidFill>
                <a:srgbClr val="0000FF"/>
              </a:solidFill>
              <a:prstDash val="solid"/>
            </a:ln>
          </c:spPr>
          <c:marker>
            <c:symbol val="none"/>
          </c:marker>
          <c:xVal>
            <c:numLit>
              <c:formatCode>General</c:formatCode>
              <c:ptCount val="12"/>
              <c:pt idx="0">
                <c:v>51.032193609310774</c:v>
              </c:pt>
              <c:pt idx="1">
                <c:v>52.044163342176716</c:v>
              </c:pt>
              <c:pt idx="2">
                <c:v>53.059054641963179</c:v>
              </c:pt>
              <c:pt idx="3">
                <c:v>54.077106364199494</c:v>
              </c:pt>
              <c:pt idx="4">
                <c:v>55.098571666921309</c:v>
              </c:pt>
              <c:pt idx="5">
                <c:v>56.123718795326212</c:v>
              </c:pt>
              <c:pt idx="6">
                <c:v>57.152831916902329</c:v>
              </c:pt>
              <c:pt idx="7">
                <c:v>58.186212011244734</c:v>
              </c:pt>
              <c:pt idx="8">
                <c:v>59.224177819184959</c:v>
              </c:pt>
              <c:pt idx="9">
                <c:v>60.267071041305037</c:v>
              </c:pt>
              <c:pt idx="10">
                <c:v>61.315246065456449</c:v>
              </c:pt>
              <c:pt idx="11">
                <c:v>60.685686925307472</c:v>
              </c:pt>
            </c:numLit>
          </c:xVal>
          <c:yVal>
            <c:numLit>
              <c:formatCode>General</c:formatCode>
              <c:ptCount val="12"/>
              <c:pt idx="0">
                <c:v>2.1326658790074809E-2</c:v>
              </c:pt>
              <c:pt idx="1">
                <c:v>2.243506972276638E-2</c:v>
              </c:pt>
              <c:pt idx="2">
                <c:v>2.3594824409687971E-2</c:v>
              </c:pt>
              <c:pt idx="3">
                <c:v>2.4808102132395416E-2</c:v>
              </c:pt>
              <c:pt idx="4">
                <c:v>2.6077176544518455E-2</c:v>
              </c:pt>
              <c:pt idx="5">
                <c:v>2.7404420721907158E-2</c:v>
              </c:pt>
              <c:pt idx="6">
                <c:v>2.8792312570165051E-2</c:v>
              </c:pt>
              <c:pt idx="7">
                <c:v>3.0243440619573288E-2</c:v>
              </c:pt>
              <c:pt idx="8">
                <c:v>3.1760510240249812E-2</c:v>
              </c:pt>
              <c:pt idx="9">
                <c:v>3.3345931147663876E-2</c:v>
              </c:pt>
              <c:pt idx="10">
                <c:v>3.5002744153325029E-2</c:v>
              </c:pt>
              <c:pt idx="11">
                <c:v>3.4000000000000002E-2</c:v>
              </c:pt>
            </c:numLit>
          </c:yVal>
          <c:smooth val="1"/>
          <c:extLst>
            <c:ext xmlns:c16="http://schemas.microsoft.com/office/drawing/2014/chart" uri="{C3380CC4-5D6E-409C-BE32-E72D297353CC}">
              <c16:uniqueId val="{00000053-A7BE-467A-B563-E2660BEB21C7}"/>
            </c:ext>
          </c:extLst>
        </c:ser>
        <c:ser>
          <c:idx val="60"/>
          <c:order val="60"/>
          <c:tx>
            <c:v>RH=35_1</c:v>
          </c:tx>
          <c:spPr>
            <a:ln w="3175">
              <a:solidFill>
                <a:srgbClr val="0000FF"/>
              </a:solidFill>
              <a:prstDash val="solid"/>
            </a:ln>
          </c:spPr>
          <c:marker>
            <c:symbol val="none"/>
          </c:marker>
          <c:xVal>
            <c:numLit>
              <c:formatCode>General</c:formatCode>
              <c:ptCount val="43"/>
              <c:pt idx="0">
                <c:v>4.7871185313731006</c:v>
              </c:pt>
              <c:pt idx="1">
                <c:v>5.7754976106657905</c:v>
              </c:pt>
              <c:pt idx="2">
                <c:v>6.7634368494649371</c:v>
              </c:pt>
              <c:pt idx="3">
                <c:v>7.7509336052946631</c:v>
              </c:pt>
              <c:pt idx="4">
                <c:v>8.7379864581370335</c:v>
              </c:pt>
              <c:pt idx="5">
                <c:v>9.7245953253953896</c:v>
              </c:pt>
              <c:pt idx="6">
                <c:v>10.710755794258983</c:v>
              </c:pt>
              <c:pt idx="7">
                <c:v>11.696476039797197</c:v>
              </c:pt>
              <c:pt idx="8">
                <c:v>12.681760716004861</c:v>
              </c:pt>
              <c:pt idx="9">
                <c:v>13.666616337253952</c:v>
              </c:pt>
              <c:pt idx="10">
                <c:v>14.651051425968156</c:v>
              </c:pt>
              <c:pt idx="11">
                <c:v>15.635076667565345</c:v>
              </c:pt>
              <c:pt idx="12">
                <c:v>16.618705072950981</c:v>
              </c:pt>
              <c:pt idx="13">
                <c:v>17.601952148863191</c:v>
              </c:pt>
              <c:pt idx="14">
                <c:v>18.584836076389781</c:v>
              </c:pt>
              <c:pt idx="15">
                <c:v>19.567377897999151</c:v>
              </c:pt>
              <c:pt idx="16">
                <c:v>20.5496017134511</c:v>
              </c:pt>
              <c:pt idx="17">
                <c:v>21.531534884979944</c:v>
              </c:pt>
              <c:pt idx="18">
                <c:v>22.513208252171889</c:v>
              </c:pt>
              <c:pt idx="19">
                <c:v>23.494656356990706</c:v>
              </c:pt>
              <c:pt idx="20">
                <c:v>24.475917679441586</c:v>
              </c:pt>
              <c:pt idx="21">
                <c:v>25.457023943089204</c:v>
              </c:pt>
              <c:pt idx="22">
                <c:v>26.438032416841143</c:v>
              </c:pt>
              <c:pt idx="23">
                <c:v>27.418994917695407</c:v>
              </c:pt>
              <c:pt idx="24">
                <c:v>28.399968265304338</c:v>
              </c:pt>
              <c:pt idx="25">
                <c:v>29.381014580235732</c:v>
              </c:pt>
              <c:pt idx="26">
                <c:v>30.362201596833557</c:v>
              </c:pt>
              <c:pt idx="27">
                <c:v>31.34360299154482</c:v>
              </c:pt>
              <c:pt idx="28">
                <c:v>32.325298727656758</c:v>
              </c:pt>
              <c:pt idx="29">
                <c:v>33.307375417472606</c:v>
              </c:pt>
              <c:pt idx="30">
                <c:v>34.289926703047513</c:v>
              </c:pt>
              <c:pt idx="31">
                <c:v>35.27305365670847</c:v>
              </c:pt>
              <c:pt idx="32">
                <c:v>36.256865202694591</c:v>
              </c:pt>
              <c:pt idx="33">
                <c:v>37.241478561377548</c:v>
              </c:pt>
              <c:pt idx="34">
                <c:v>38.227019717658351</c:v>
              </c:pt>
              <c:pt idx="35">
                <c:v>39.213623915286412</c:v>
              </c:pt>
              <c:pt idx="36">
                <c:v>40.20142801109052</c:v>
              </c:pt>
              <c:pt idx="37">
                <c:v>41.190595285084498</c:v>
              </c:pt>
              <c:pt idx="38">
                <c:v>42.181292056695334</c:v>
              </c:pt>
              <c:pt idx="39">
                <c:v>43.173696189154136</c:v>
              </c:pt>
              <c:pt idx="40">
                <c:v>44.167997746731146</c:v>
              </c:pt>
              <c:pt idx="41">
                <c:v>45.164399692552003</c:v>
              </c:pt>
              <c:pt idx="42">
                <c:v>45.234232000643402</c:v>
              </c:pt>
            </c:numLit>
          </c:xVal>
          <c:yVal>
            <c:numLit>
              <c:formatCode>General</c:formatCode>
              <c:ptCount val="43"/>
              <c:pt idx="0">
                <c:v>1.8875265065984568E-3</c:v>
              </c:pt>
              <c:pt idx="1">
                <c:v>2.0237401762564001E-3</c:v>
              </c:pt>
              <c:pt idx="2">
                <c:v>2.1686033300371225E-3</c:v>
              </c:pt>
              <c:pt idx="3">
                <c:v>2.3225879966033455E-3</c:v>
              </c:pt>
              <c:pt idx="4">
                <c:v>2.4861877298070602E-3</c:v>
              </c:pt>
              <c:pt idx="5">
                <c:v>2.6599184202403814E-3</c:v>
              </c:pt>
              <c:pt idx="6">
                <c:v>2.8443760603662129E-3</c:v>
              </c:pt>
              <c:pt idx="7">
                <c:v>3.0400747109121822E-3</c:v>
              </c:pt>
              <c:pt idx="8">
                <c:v>3.2476031618899315E-3</c:v>
              </c:pt>
              <c:pt idx="9">
                <c:v>3.467576144773824E-3</c:v>
              </c:pt>
              <c:pt idx="10">
                <c:v>3.7006353096777946E-3</c:v>
              </c:pt>
              <c:pt idx="11">
                <c:v>3.9474502411748786E-3</c:v>
              </c:pt>
              <c:pt idx="12">
                <c:v>4.2087195151559722E-3</c:v>
              </c:pt>
              <c:pt idx="13">
                <c:v>4.4851717993238342E-3</c:v>
              </c:pt>
              <c:pt idx="14">
                <c:v>4.7775670001359146E-3</c:v>
              </c:pt>
              <c:pt idx="15">
                <c:v>5.0866974592432227E-3</c:v>
              </c:pt>
              <c:pt idx="16">
                <c:v>5.4133892027263455E-3</c:v>
              </c:pt>
              <c:pt idx="17">
                <c:v>5.7585032467030641E-3</c:v>
              </c:pt>
              <c:pt idx="18">
                <c:v>6.1229369631792784E-3</c:v>
              </c:pt>
              <c:pt idx="19">
                <c:v>6.5076255103347367E-3</c:v>
              </c:pt>
              <c:pt idx="20">
                <c:v>6.9135433317828654E-3</c:v>
              </c:pt>
              <c:pt idx="21">
                <c:v>7.3418536727454121E-3</c:v>
              </c:pt>
              <c:pt idx="22">
                <c:v>7.7934848174498117E-3</c:v>
              </c:pt>
              <c:pt idx="23">
                <c:v>8.2695403621734203E-3</c:v>
              </c:pt>
              <c:pt idx="24">
                <c:v>8.771170082880541E-3</c:v>
              </c:pt>
              <c:pt idx="25">
                <c:v>9.299571868023453E-3</c:v>
              </c:pt>
              <c:pt idx="26">
                <c:v>9.8559937570728701E-3</c:v>
              </c:pt>
              <c:pt idx="27">
                <c:v>1.0441736092756343E-2</c:v>
              </c:pt>
              <c:pt idx="28">
                <c:v>1.1058153795654896E-2</c:v>
              </c:pt>
              <c:pt idx="29">
                <c:v>1.1706658770540258E-2</c:v>
              </c:pt>
              <c:pt idx="30">
                <c:v>1.2388722454634234E-2</c:v>
              </c:pt>
              <c:pt idx="31">
                <c:v>1.310587851884021E-2</c:v>
              </c:pt>
              <c:pt idx="32">
                <c:v>1.38597257339495E-2</c:v>
              </c:pt>
              <c:pt idx="33">
                <c:v>1.4651931014865276E-2</c:v>
              </c:pt>
              <c:pt idx="34">
                <c:v>1.5484232657023162E-2</c:v>
              </c:pt>
              <c:pt idx="35">
                <c:v>1.6358443780435813E-2</c:v>
              </c:pt>
              <c:pt idx="36">
                <c:v>1.7276632706299835E-2</c:v>
              </c:pt>
              <c:pt idx="37">
                <c:v>1.8240617007280389E-2</c:v>
              </c:pt>
              <c:pt idx="38">
                <c:v>1.9252458881825515E-2</c:v>
              </c:pt>
              <c:pt idx="39">
                <c:v>2.0314311674265402E-2</c:v>
              </c:pt>
              <c:pt idx="40">
                <c:v>2.1428424648962326E-2</c:v>
              </c:pt>
              <c:pt idx="41">
                <c:v>2.2597148099265552E-2</c:v>
              </c:pt>
              <c:pt idx="42">
                <c:v>2.2681066726897296E-2</c:v>
              </c:pt>
            </c:numLit>
          </c:yVal>
          <c:smooth val="1"/>
          <c:extLst>
            <c:ext xmlns:c16="http://schemas.microsoft.com/office/drawing/2014/chart" uri="{C3380CC4-5D6E-409C-BE32-E72D297353CC}">
              <c16:uniqueId val="{00000054-A7BE-467A-B563-E2660BEB21C7}"/>
            </c:ext>
          </c:extLst>
        </c:ser>
        <c:ser>
          <c:idx val="61"/>
          <c:order val="61"/>
          <c:tx>
            <c:v>RH=35_Label</c:v>
          </c:tx>
          <c:spPr>
            <a:ln w="3175">
              <a:solidFill>
                <a:srgbClr val="0000FF"/>
              </a:solidFill>
              <a:prstDash val="solid"/>
            </a:ln>
          </c:spPr>
          <c:marker>
            <c:symbol val="none"/>
          </c:marker>
          <c:dLbls>
            <c:dLbl>
              <c:idx val="0"/>
              <c:tx>
                <c:rich>
                  <a:bodyPr rot="-38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35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45.473744263525454</c:v>
              </c:pt>
            </c:numLit>
          </c:xVal>
          <c:yVal>
            <c:numLit>
              <c:formatCode>General</c:formatCode>
              <c:ptCount val="1"/>
              <c:pt idx="0">
                <c:v>2.2970922167067916E-2</c:v>
              </c:pt>
            </c:numLit>
          </c:yVal>
          <c:smooth val="0"/>
          <c:extLst>
            <c:ext xmlns:c16="http://schemas.microsoft.com/office/drawing/2014/chart" uri="{C3380CC4-5D6E-409C-BE32-E72D297353CC}">
              <c16:uniqueId val="{00000056-A7BE-467A-B563-E2660BEB21C7}"/>
            </c:ext>
          </c:extLst>
        </c:ser>
        <c:ser>
          <c:idx val="62"/>
          <c:order val="62"/>
          <c:tx>
            <c:v>RH=35_2</c:v>
          </c:tx>
          <c:spPr>
            <a:ln w="3175">
              <a:solidFill>
                <a:srgbClr val="0000FF"/>
              </a:solidFill>
              <a:prstDash val="solid"/>
            </a:ln>
          </c:spPr>
          <c:marker>
            <c:symbol val="none"/>
          </c:marker>
          <c:xVal>
            <c:numLit>
              <c:formatCode>General</c:formatCode>
              <c:ptCount val="10"/>
              <c:pt idx="0">
                <c:v>45.833271323931591</c:v>
              </c:pt>
              <c:pt idx="1">
                <c:v>46.833670976109858</c:v>
              </c:pt>
              <c:pt idx="2">
                <c:v>47.836781935620444</c:v>
              </c:pt>
              <c:pt idx="3">
                <c:v>48.842861236487671</c:v>
              </c:pt>
              <c:pt idx="4">
                <c:v>49.85218271525067</c:v>
              </c:pt>
              <c:pt idx="5">
                <c:v>50.865038012679548</c:v>
              </c:pt>
              <c:pt idx="6">
                <c:v>51.88173764574703</c:v>
              </c:pt>
              <c:pt idx="7">
                <c:v>52.902612156219796</c:v>
              </c:pt>
              <c:pt idx="8">
                <c:v>53.928013342906546</c:v>
              </c:pt>
              <c:pt idx="9">
                <c:v>53.107318613190003</c:v>
              </c:pt>
            </c:numLit>
          </c:xVal>
          <c:yVal>
            <c:numLit>
              <c:formatCode>General</c:formatCode>
              <c:ptCount val="10"/>
              <c:pt idx="0">
                <c:v>2.3411963356441547E-2</c:v>
              </c:pt>
              <c:pt idx="1">
                <c:v>2.4677419297159033E-2</c:v>
              </c:pt>
              <c:pt idx="2">
                <c:v>2.6004298989440726E-2</c:v>
              </c:pt>
              <c:pt idx="3">
                <c:v>2.7395373515773463E-2</c:v>
              </c:pt>
              <c:pt idx="4">
                <c:v>2.8853544194664613E-2</c:v>
              </c:pt>
              <c:pt idx="5">
                <c:v>3.0381850214392454E-2</c:v>
              </c:pt>
              <c:pt idx="6">
                <c:v>3.198347685221669E-2</c:v>
              </c:pt>
              <c:pt idx="7">
                <c:v>3.3661764332246949E-2</c:v>
              </c:pt>
              <c:pt idx="8">
                <c:v>3.5420217380634465E-2</c:v>
              </c:pt>
              <c:pt idx="9">
                <c:v>3.4000000000000002E-2</c:v>
              </c:pt>
            </c:numLit>
          </c:yVal>
          <c:smooth val="1"/>
          <c:extLst>
            <c:ext xmlns:c16="http://schemas.microsoft.com/office/drawing/2014/chart" uri="{C3380CC4-5D6E-409C-BE32-E72D297353CC}">
              <c16:uniqueId val="{00000057-A7BE-467A-B563-E2660BEB21C7}"/>
            </c:ext>
          </c:extLst>
        </c:ser>
        <c:ser>
          <c:idx val="63"/>
          <c:order val="63"/>
          <c:tx>
            <c:v>RH=45_1</c:v>
          </c:tx>
          <c:spPr>
            <a:ln w="3175">
              <a:solidFill>
                <a:srgbClr val="0000FF"/>
              </a:solidFill>
              <a:prstDash val="solid"/>
            </a:ln>
          </c:spPr>
          <c:marker>
            <c:symbol val="none"/>
          </c:marker>
          <c:xVal>
            <c:numLit>
              <c:formatCode>General</c:formatCode>
              <c:ptCount val="39"/>
              <c:pt idx="0">
                <c:v>4.7260577305428324</c:v>
              </c:pt>
              <c:pt idx="1">
                <c:v>5.7110854871591874</c:v>
              </c:pt>
              <c:pt idx="2">
                <c:v>6.6955440865016538</c:v>
              </c:pt>
              <c:pt idx="3">
                <c:v>7.6794297586972338</c:v>
              </c:pt>
              <c:pt idx="4">
                <c:v>8.6627402748613527</c:v>
              </c:pt>
              <c:pt idx="5">
                <c:v>9.6454750933069349</c:v>
              </c:pt>
              <c:pt idx="6">
                <c:v>10.627628051546754</c:v>
              </c:pt>
              <c:pt idx="7">
                <c:v>11.609209170359327</c:v>
              </c:pt>
              <c:pt idx="8">
                <c:v>12.590223891189209</c:v>
              </c:pt>
              <c:pt idx="9">
                <c:v>13.57068000934591</c:v>
              </c:pt>
              <c:pt idx="10">
                <c:v>14.5505878628312</c:v>
              </c:pt>
              <c:pt idx="11">
                <c:v>15.529960530746996</c:v>
              </c:pt>
              <c:pt idx="12">
                <c:v>16.508814041703211</c:v>
              </c:pt>
              <c:pt idx="13">
                <c:v>17.487167592675725</c:v>
              </c:pt>
              <c:pt idx="14">
                <c:v>18.465043778798211</c:v>
              </c:pt>
              <c:pt idx="15">
                <c:v>19.442468834609461</c:v>
              </c:pt>
              <c:pt idx="16">
                <c:v>20.419472887319177</c:v>
              </c:pt>
              <c:pt idx="17">
                <c:v>21.396090222701659</c:v>
              </c:pt>
              <c:pt idx="18">
                <c:v>22.372359564277655</c:v>
              </c:pt>
              <c:pt idx="19">
                <c:v>23.348324366501373</c:v>
              </c:pt>
              <c:pt idx="20">
                <c:v>24.324033122732022</c:v>
              </c:pt>
              <c:pt idx="21">
                <c:v>25.299525526067768</c:v>
              </c:pt>
              <c:pt idx="22">
                <c:v>26.27487427500764</c:v>
              </c:pt>
              <c:pt idx="23">
                <c:v>27.250144978811154</c:v>
              </c:pt>
              <c:pt idx="24">
                <c:v>28.225409688910453</c:v>
              </c:pt>
              <c:pt idx="25">
                <c:v>29.200747295873022</c:v>
              </c:pt>
              <c:pt idx="26">
                <c:v>30.176243947616026</c:v>
              </c:pt>
              <c:pt idx="27">
                <c:v>31.151993490321559</c:v>
              </c:pt>
              <c:pt idx="28">
                <c:v>32.128097933641065</c:v>
              </c:pt>
              <c:pt idx="29">
                <c:v>33.104667941931126</c:v>
              </c:pt>
              <c:pt idx="30">
                <c:v>34.081823353432611</c:v>
              </c:pt>
              <c:pt idx="31">
                <c:v>35.059693729493425</c:v>
              </c:pt>
              <c:pt idx="32">
                <c:v>36.03841893614306</c:v>
              </c:pt>
              <c:pt idx="33">
                <c:v>37.0181497605573</c:v>
              </c:pt>
              <c:pt idx="34">
                <c:v>37.999048565207161</c:v>
              </c:pt>
              <c:pt idx="35">
                <c:v>38.981289982768772</c:v>
              </c:pt>
              <c:pt idx="36">
                <c:v>39.965050984881188</c:v>
              </c:pt>
              <c:pt idx="37">
                <c:v>40.95054333964277</c:v>
              </c:pt>
              <c:pt idx="38">
                <c:v>41.335400809358028</c:v>
              </c:pt>
            </c:numLit>
          </c:xVal>
          <c:yVal>
            <c:numLit>
              <c:formatCode>General</c:formatCode>
              <c:ptCount val="39"/>
              <c:pt idx="0">
                <c:v>2.4289258159167224E-3</c:v>
              </c:pt>
              <c:pt idx="1">
                <c:v>2.6043727591205873E-3</c:v>
              </c:pt>
              <c:pt idx="2">
                <c:v>2.7909845906628123E-3</c:v>
              </c:pt>
              <c:pt idx="3">
                <c:v>2.9893739594974377E-3</c:v>
              </c:pt>
              <c:pt idx="4">
                <c:v>3.2001818853940622E-3</c:v>
              </c:pt>
              <c:pt idx="5">
                <c:v>3.4240788799272735E-3</c:v>
              </c:pt>
              <c:pt idx="6">
                <c:v>3.6618394930983864E-3</c:v>
              </c:pt>
              <c:pt idx="7">
                <c:v>3.9141335585276644E-3</c:v>
              </c:pt>
              <c:pt idx="8">
                <c:v>4.181728195005634E-3</c:v>
              </c:pt>
              <c:pt idx="9">
                <c:v>4.4654250475394362E-3</c:v>
              </c:pt>
              <c:pt idx="10">
                <c:v>4.7660616697429072E-3</c:v>
              </c:pt>
              <c:pt idx="11">
                <c:v>5.0845129684787566E-3</c:v>
              </c:pt>
              <c:pt idx="12">
                <c:v>5.4216927150161328E-3</c:v>
              </c:pt>
              <c:pt idx="13">
                <c:v>5.7785551273322622E-3</c:v>
              </c:pt>
              <c:pt idx="14">
                <c:v>6.1560965285861443E-3</c:v>
              </c:pt>
              <c:pt idx="15">
                <c:v>6.5553570872239637E-3</c:v>
              </c:pt>
              <c:pt idx="16">
                <c:v>6.9774226446464435E-3</c:v>
              </c:pt>
              <c:pt idx="17">
                <c:v>7.4234266368784479E-3</c:v>
              </c:pt>
              <c:pt idx="18">
                <c:v>7.8945521172378037E-3</c:v>
              </c:pt>
              <c:pt idx="19">
                <c:v>8.3920338876039037E-3</c:v>
              </c:pt>
              <c:pt idx="20">
                <c:v>8.9171607465458672E-3</c:v>
              </c:pt>
              <c:pt idx="21">
                <c:v>9.4714693652664696E-3</c:v>
              </c:pt>
              <c:pt idx="22">
                <c:v>1.0056196296420142E-2</c:v>
              </c:pt>
              <c:pt idx="23">
                <c:v>1.0672809158403808E-2</c:v>
              </c:pt>
              <c:pt idx="24">
                <c:v>1.1322840060390603E-2</c:v>
              </c:pt>
              <c:pt idx="25">
                <c:v>1.2007888595456073E-2</c:v>
              </c:pt>
              <c:pt idx="26">
                <c:v>1.272962501840671E-2</c:v>
              </c:pt>
              <c:pt idx="27">
                <c:v>1.3489793623284507E-2</c:v>
              </c:pt>
              <c:pt idx="28">
                <c:v>1.4290216336870146E-2</c:v>
              </c:pt>
              <c:pt idx="29">
                <c:v>1.5132796545989417E-2</c:v>
              </c:pt>
              <c:pt idx="30">
                <c:v>1.6019523178057559E-2</c:v>
              </c:pt>
              <c:pt idx="31">
                <c:v>1.6952475056086224E-2</c:v>
              </c:pt>
              <c:pt idx="32">
                <c:v>1.7933825551354827E-2</c:v>
              </c:pt>
              <c:pt idx="33">
                <c:v>1.8965847559127468E-2</c:v>
              </c:pt>
              <c:pt idx="34">
                <c:v>2.0050918825201176E-2</c:v>
              </c:pt>
              <c:pt idx="35">
                <c:v>2.1191527653734742E-2</c:v>
              </c:pt>
              <c:pt idx="36">
                <c:v>2.2390509875473721E-2</c:v>
              </c:pt>
              <c:pt idx="37">
                <c:v>2.3650389792100688E-2</c:v>
              </c:pt>
              <c:pt idx="38">
                <c:v>2.4158862560192503E-2</c:v>
              </c:pt>
            </c:numLit>
          </c:yVal>
          <c:smooth val="1"/>
          <c:extLst>
            <c:ext xmlns:c16="http://schemas.microsoft.com/office/drawing/2014/chart" uri="{C3380CC4-5D6E-409C-BE32-E72D297353CC}">
              <c16:uniqueId val="{00000058-A7BE-467A-B563-E2660BEB21C7}"/>
            </c:ext>
          </c:extLst>
        </c:ser>
        <c:ser>
          <c:idx val="64"/>
          <c:order val="64"/>
          <c:tx>
            <c:v>RH=45_Label</c:v>
          </c:tx>
          <c:spPr>
            <a:ln w="3175">
              <a:solidFill>
                <a:srgbClr val="0000FF"/>
              </a:solidFill>
              <a:prstDash val="solid"/>
            </a:ln>
          </c:spPr>
          <c:marker>
            <c:symbol val="none"/>
          </c:marker>
          <c:dLbls>
            <c:dLbl>
              <c:idx val="0"/>
              <c:tx>
                <c:rich>
                  <a:bodyPr rot="-39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45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41.562512239642203</c:v>
              </c:pt>
            </c:numLit>
          </c:xVal>
          <c:yVal>
            <c:numLit>
              <c:formatCode>General</c:formatCode>
              <c:ptCount val="1"/>
              <c:pt idx="0">
                <c:v>2.4463347197768989E-2</c:v>
              </c:pt>
            </c:numLit>
          </c:yVal>
          <c:smooth val="0"/>
          <c:extLst>
            <c:ext xmlns:c16="http://schemas.microsoft.com/office/drawing/2014/chart" uri="{C3380CC4-5D6E-409C-BE32-E72D297353CC}">
              <c16:uniqueId val="{0000005A-A7BE-467A-B563-E2660BEB21C7}"/>
            </c:ext>
          </c:extLst>
        </c:ser>
        <c:ser>
          <c:idx val="65"/>
          <c:order val="65"/>
          <c:tx>
            <c:v>RH=45_2</c:v>
          </c:tx>
          <c:spPr>
            <a:ln w="3175">
              <a:solidFill>
                <a:srgbClr val="0000FF"/>
              </a:solidFill>
              <a:prstDash val="solid"/>
            </a:ln>
          </c:spPr>
          <c:marker>
            <c:symbol val="none"/>
          </c:marker>
          <c:xVal>
            <c:numLit>
              <c:formatCode>General</c:formatCode>
              <c:ptCount val="8"/>
              <c:pt idx="0">
                <c:v>41.928098390191629</c:v>
              </c:pt>
              <c:pt idx="1">
                <c:v>42.917694385733654</c:v>
              </c:pt>
              <c:pt idx="2">
                <c:v>43.909715133514005</c:v>
              </c:pt>
              <c:pt idx="3">
                <c:v>44.904426145129953</c:v>
              </c:pt>
              <c:pt idx="4">
                <c:v>45.902111543892609</c:v>
              </c:pt>
              <c:pt idx="5">
                <c:v>46.903075243287738</c:v>
              </c:pt>
              <c:pt idx="6">
                <c:v>47.907642213314794</c:v>
              </c:pt>
              <c:pt idx="7">
                <c:v>47.676254964289676</c:v>
              </c:pt>
            </c:numLit>
          </c:xVal>
          <c:yVal>
            <c:numLit>
              <c:formatCode>General</c:formatCode>
              <c:ptCount val="8"/>
              <c:pt idx="0">
                <c:v>2.4960466451407849E-2</c:v>
              </c:pt>
              <c:pt idx="1">
                <c:v>2.6350179242864893E-2</c:v>
              </c:pt>
              <c:pt idx="2">
                <c:v>2.7809762265918289E-2</c:v>
              </c:pt>
              <c:pt idx="3">
                <c:v>2.9342514173001152E-2</c:v>
              </c:pt>
              <c:pt idx="4">
                <c:v>3.0951898175947155E-2</c:v>
              </c:pt>
              <c:pt idx="5">
                <c:v>3.2641552341069122E-2</c:v>
              </c:pt>
              <c:pt idx="6">
                <c:v>3.4415300721438939E-2</c:v>
              </c:pt>
              <c:pt idx="7">
                <c:v>3.4000000000000002E-2</c:v>
              </c:pt>
            </c:numLit>
          </c:yVal>
          <c:smooth val="1"/>
          <c:extLst>
            <c:ext xmlns:c16="http://schemas.microsoft.com/office/drawing/2014/chart" uri="{C3380CC4-5D6E-409C-BE32-E72D297353CC}">
              <c16:uniqueId val="{0000005B-A7BE-467A-B563-E2660BEB21C7}"/>
            </c:ext>
          </c:extLst>
        </c:ser>
        <c:ser>
          <c:idx val="66"/>
          <c:order val="66"/>
          <c:tx>
            <c:v>RH=55_1</c:v>
          </c:tx>
          <c:spPr>
            <a:ln w="3175">
              <a:solidFill>
                <a:srgbClr val="0000FF"/>
              </a:solidFill>
              <a:prstDash val="solid"/>
            </a:ln>
          </c:spPr>
          <c:marker>
            <c:symbol val="none"/>
          </c:marker>
          <c:xVal>
            <c:numLit>
              <c:formatCode>General</c:formatCode>
              <c:ptCount val="36"/>
              <c:pt idx="0">
                <c:v>4.6648908591534965</c:v>
              </c:pt>
              <c:pt idx="1">
                <c:v>5.6465533816461946</c:v>
              </c:pt>
              <c:pt idx="2">
                <c:v>6.6275157873511015</c:v>
              </c:pt>
              <c:pt idx="3">
                <c:v>7.6077730095209297</c:v>
              </c:pt>
              <c:pt idx="4">
                <c:v>8.5873218265879956</c:v>
              </c:pt>
              <c:pt idx="5">
                <c:v>9.5661610388038323</c:v>
              </c:pt>
              <c:pt idx="6">
                <c:v>10.544282510318077</c:v>
              </c:pt>
              <c:pt idx="7">
                <c:v>11.521697882540506</c:v>
              </c:pt>
              <c:pt idx="8">
                <c:v>12.498413134825311</c:v>
              </c:pt>
              <c:pt idx="9">
                <c:v>13.474437075620418</c:v>
              </c:pt>
              <c:pt idx="10">
                <c:v>14.449781571797587</c:v>
              </c:pt>
              <c:pt idx="11">
                <c:v>15.424461789959047</c:v>
              </c:pt>
              <c:pt idx="12">
                <c:v>16.398496450299806</c:v>
              </c:pt>
              <c:pt idx="13">
                <c:v>17.371908093651665</c:v>
              </c:pt>
              <c:pt idx="14">
                <c:v>18.344723362387121</c:v>
              </c:pt>
              <c:pt idx="15">
                <c:v>19.316973295919411</c:v>
              </c:pt>
              <c:pt idx="16">
                <c:v>20.288693641599377</c:v>
              </c:pt>
              <c:pt idx="17">
                <c:v>21.259925181881439</c:v>
              </c:pt>
              <c:pt idx="18">
                <c:v>22.230714078710324</c:v>
              </c:pt>
              <c:pt idx="19">
                <c:v>23.201112236168516</c:v>
              </c:pt>
              <c:pt idx="20">
                <c:v>24.171177682521932</c:v>
              </c:pt>
              <c:pt idx="21">
                <c:v>25.14095754510684</c:v>
              </c:pt>
              <c:pt idx="22">
                <c:v>26.110539484689035</c:v>
              </c:pt>
              <c:pt idx="23">
                <c:v>27.080002392959816</c:v>
              </c:pt>
              <c:pt idx="24">
                <c:v>28.049433041096187</c:v>
              </c:pt>
              <c:pt idx="25">
                <c:v>29.018926580940093</c:v>
              </c:pt>
              <c:pt idx="26">
                <c:v>29.988587075214603</c:v>
              </c:pt>
              <c:pt idx="27">
                <c:v>30.958528058979141</c:v>
              </c:pt>
              <c:pt idx="28">
                <c:v>31.928873134750578</c:v>
              </c:pt>
              <c:pt idx="29">
                <c:v>32.899756603967084</c:v>
              </c:pt>
              <c:pt idx="30">
                <c:v>33.871324137749426</c:v>
              </c:pt>
              <c:pt idx="31">
                <c:v>34.843733490223556</c:v>
              </c:pt>
              <c:pt idx="32">
                <c:v>35.817155258013045</c:v>
              </c:pt>
              <c:pt idx="33">
                <c:v>36.791773689893013</c:v>
              </c:pt>
              <c:pt idx="34">
                <c:v>37.767787551025833</c:v>
              </c:pt>
              <c:pt idx="35">
                <c:v>38.236832143174979</c:v>
              </c:pt>
            </c:numLit>
          </c:xVal>
          <c:yVal>
            <c:numLit>
              <c:formatCode>General</c:formatCode>
              <c:ptCount val="36"/>
              <c:pt idx="0">
                <c:v>2.9712656063069056E-3</c:v>
              </c:pt>
              <c:pt idx="1">
                <c:v>3.1860869002144176E-3</c:v>
              </c:pt>
              <c:pt idx="2">
                <c:v>3.414608328091779E-3</c:v>
              </c:pt>
              <c:pt idx="3">
                <c:v>3.6575857658689651E-3</c:v>
              </c:pt>
              <c:pt idx="4">
                <c:v>3.9158106249054629E-3</c:v>
              </c:pt>
              <c:pt idx="5">
                <c:v>4.19011131877251E-3</c:v>
              </c:pt>
              <c:pt idx="6">
                <c:v>4.4814447176932176E-3</c:v>
              </c:pt>
              <c:pt idx="7">
                <c:v>4.7906404835150358E-3</c:v>
              </c:pt>
              <c:pt idx="8">
                <c:v>5.1186486748401082E-3</c:v>
              </c:pt>
              <c:pt idx="9">
                <c:v>5.4664630058504768E-3</c:v>
              </c:pt>
              <c:pt idx="10">
                <c:v>5.8351226941980557E-3</c:v>
              </c:pt>
              <c:pt idx="11">
                <c:v>6.2257144010881621E-3</c:v>
              </c:pt>
              <c:pt idx="12">
                <c:v>6.6393742703356956E-3</c:v>
              </c:pt>
              <c:pt idx="13">
                <c:v>7.0772900737726746E-3</c:v>
              </c:pt>
              <c:pt idx="14">
                <c:v>7.5407034710427414E-3</c:v>
              </c:pt>
              <c:pt idx="15">
                <c:v>8.0309123925323949E-3</c:v>
              </c:pt>
              <c:pt idx="16">
                <c:v>8.5492735549704338E-3</c:v>
              </c:pt>
              <c:pt idx="17">
                <c:v>9.0972051200791226E-3</c:v>
              </c:pt>
              <c:pt idx="18">
                <c:v>9.6761895075946035E-3</c:v>
              </c:pt>
              <c:pt idx="19">
                <c:v>1.0287776374993248E-2</c:v>
              </c:pt>
              <c:pt idx="20">
                <c:v>1.0933585777379171E-2</c:v>
              </c:pt>
              <c:pt idx="21">
                <c:v>1.1615547172345699E-2</c:v>
              </c:pt>
              <c:pt idx="22">
                <c:v>1.2335225784433806E-2</c:v>
              </c:pt>
              <c:pt idx="23">
                <c:v>1.3094476410334279E-2</c:v>
              </c:pt>
              <c:pt idx="24">
                <c:v>1.3895239184208591E-2</c:v>
              </c:pt>
              <c:pt idx="25">
                <c:v>1.4739543900452028E-2</c:v>
              </c:pt>
              <c:pt idx="26">
                <c:v>1.5629514628788175E-2</c:v>
              </c:pt>
              <c:pt idx="27">
                <c:v>1.6567374646853032E-2</c:v>
              </c:pt>
              <c:pt idx="28">
                <c:v>1.7555451717838413E-2</c:v>
              </c:pt>
              <c:pt idx="29">
                <c:v>1.8596183743432599E-2</c:v>
              </c:pt>
              <c:pt idx="30">
                <c:v>1.9692124825252923E-2</c:v>
              </c:pt>
              <c:pt idx="31">
                <c:v>2.0845951771238484E-2</c:v>
              </c:pt>
              <c:pt idx="32">
                <c:v>2.2060471087112916E-2</c:v>
              </c:pt>
              <c:pt idx="33">
                <c:v>2.3338626497074393E-2</c:v>
              </c:pt>
              <c:pt idx="34">
                <c:v>2.4683507042373775E-2</c:v>
              </c:pt>
              <c:pt idx="35">
                <c:v>2.5353696621052264E-2</c:v>
              </c:pt>
            </c:numLit>
          </c:yVal>
          <c:smooth val="1"/>
          <c:extLst>
            <c:ext xmlns:c16="http://schemas.microsoft.com/office/drawing/2014/chart" uri="{C3380CC4-5D6E-409C-BE32-E72D297353CC}">
              <c16:uniqueId val="{0000005C-A7BE-467A-B563-E2660BEB21C7}"/>
            </c:ext>
          </c:extLst>
        </c:ser>
        <c:ser>
          <c:idx val="67"/>
          <c:order val="67"/>
          <c:tx>
            <c:v>RH=55_Label</c:v>
          </c:tx>
          <c:spPr>
            <a:ln w="3175">
              <a:solidFill>
                <a:srgbClr val="0000FF"/>
              </a:solidFill>
              <a:prstDash val="solid"/>
            </a:ln>
          </c:spPr>
          <c:marker>
            <c:symbol val="none"/>
          </c:marker>
          <c:dLbls>
            <c:dLbl>
              <c:idx val="0"/>
              <c:tx>
                <c:rich>
                  <a:bodyPr rot="-40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38.451941592091899</c:v>
              </c:pt>
            </c:numLit>
          </c:xVal>
          <c:yVal>
            <c:numLit>
              <c:formatCode>General</c:formatCode>
              <c:ptCount val="1"/>
              <c:pt idx="0">
                <c:v>2.5666355091286491E-2</c:v>
              </c:pt>
            </c:numLit>
          </c:yVal>
          <c:smooth val="0"/>
          <c:extLst>
            <c:ext xmlns:c16="http://schemas.microsoft.com/office/drawing/2014/chart" uri="{C3380CC4-5D6E-409C-BE32-E72D297353CC}">
              <c16:uniqueId val="{0000005E-A7BE-467A-B563-E2660BEB21C7}"/>
            </c:ext>
          </c:extLst>
        </c:ser>
        <c:ser>
          <c:idx val="68"/>
          <c:order val="68"/>
          <c:tx>
            <c:v>RH=55_2</c:v>
          </c:tx>
          <c:spPr>
            <a:ln w="3175">
              <a:solidFill>
                <a:srgbClr val="0000FF"/>
              </a:solidFill>
              <a:prstDash val="solid"/>
            </a:ln>
          </c:spPr>
          <c:marker>
            <c:symbol val="none"/>
          </c:marker>
          <c:xVal>
            <c:numLit>
              <c:formatCode>General</c:formatCode>
              <c:ptCount val="7"/>
              <c:pt idx="0">
                <c:v>38.82369621052321</c:v>
              </c:pt>
              <c:pt idx="1">
                <c:v>39.803304385144266</c:v>
              </c:pt>
              <c:pt idx="2">
                <c:v>40.785021147027713</c:v>
              </c:pt>
              <c:pt idx="3">
                <c:v>41.769114852583151</c:v>
              </c:pt>
              <c:pt idx="4">
                <c:v>42.755873820032406</c:v>
              </c:pt>
              <c:pt idx="5">
                <c:v>43.745607654339146</c:v>
              </c:pt>
              <c:pt idx="6">
                <c:v>43.478067884639856</c:v>
              </c:pt>
            </c:numLit>
          </c:xVal>
          <c:yVal>
            <c:numLit>
              <c:formatCode>General</c:formatCode>
              <c:ptCount val="7"/>
              <c:pt idx="0">
                <c:v>2.6214688956376207E-2</c:v>
              </c:pt>
              <c:pt idx="1">
                <c:v>2.7709224109513125E-2</c:v>
              </c:pt>
              <c:pt idx="2">
                <c:v>2.9281042680128176E-2</c:v>
              </c:pt>
              <c:pt idx="3">
                <c:v>3.0933927693833376E-2</c:v>
              </c:pt>
              <c:pt idx="4">
                <c:v>3.2671859966039586E-2</c:v>
              </c:pt>
              <c:pt idx="5">
                <c:v>3.4499031120469648E-2</c:v>
              </c:pt>
              <c:pt idx="6">
                <c:v>3.4000000000000002E-2</c:v>
              </c:pt>
            </c:numLit>
          </c:yVal>
          <c:smooth val="1"/>
          <c:extLst>
            <c:ext xmlns:c16="http://schemas.microsoft.com/office/drawing/2014/chart" uri="{C3380CC4-5D6E-409C-BE32-E72D297353CC}">
              <c16:uniqueId val="{0000005F-A7BE-467A-B563-E2660BEB21C7}"/>
            </c:ext>
          </c:extLst>
        </c:ser>
        <c:ser>
          <c:idx val="69"/>
          <c:order val="69"/>
          <c:tx>
            <c:v>RH=65_1</c:v>
          </c:tx>
          <c:spPr>
            <a:ln w="3175">
              <a:solidFill>
                <a:srgbClr val="0000FF"/>
              </a:solidFill>
              <a:prstDash val="solid"/>
            </a:ln>
          </c:spPr>
          <c:marker>
            <c:symbol val="none"/>
          </c:marker>
          <c:xVal>
            <c:numLit>
              <c:formatCode>General</c:formatCode>
              <c:ptCount val="34"/>
              <c:pt idx="0">
                <c:v>4.6036176405772773</c:v>
              </c:pt>
              <c:pt idx="1">
                <c:v>5.5819009585742512</c:v>
              </c:pt>
              <c:pt idx="2">
                <c:v>6.5593515457458409</c:v>
              </c:pt>
              <c:pt idx="3">
                <c:v>7.5359628667944998</c:v>
              </c:pt>
              <c:pt idx="4">
                <c:v>8.5117305210762151</c:v>
              </c:pt>
              <c:pt idx="5">
                <c:v>9.4866524487966828</c:v>
              </c:pt>
              <c:pt idx="6">
                <c:v>10.460718313486918</c:v>
              </c:pt>
              <c:pt idx="7">
                <c:v>11.433941148044605</c:v>
              </c:pt>
              <c:pt idx="8">
                <c:v>12.406327215426149</c:v>
              </c:pt>
              <c:pt idx="9">
                <c:v>13.377886063888738</c:v>
              </c:pt>
              <c:pt idx="10">
                <c:v>14.34863079606451</c:v>
              </c:pt>
              <c:pt idx="11">
                <c:v>15.318578352477727</c:v>
              </c:pt>
              <c:pt idx="12">
                <c:v>16.287749810265698</c:v>
              </c:pt>
              <c:pt idx="13">
                <c:v>17.256170697931061</c:v>
              </c:pt>
              <c:pt idx="14">
                <c:v>18.223871327027691</c:v>
              </c:pt>
              <c:pt idx="15">
                <c:v>19.19088714176532</c:v>
              </c:pt>
              <c:pt idx="16">
                <c:v>20.157259087610797</c:v>
              </c:pt>
              <c:pt idx="17">
                <c:v>21.123034000066731</c:v>
              </c:pt>
              <c:pt idx="18">
                <c:v>22.088265014922808</c:v>
              </c:pt>
              <c:pt idx="19">
                <c:v>23.053012001402923</c:v>
              </c:pt>
              <c:pt idx="20">
                <c:v>24.017342019772865</c:v>
              </c:pt>
              <c:pt idx="21">
                <c:v>24.981309068053054</c:v>
              </c:pt>
              <c:pt idx="22">
                <c:v>25.945015271358578</c:v>
              </c:pt>
              <c:pt idx="23">
                <c:v>26.908552259128324</c:v>
              </c:pt>
              <c:pt idx="24">
                <c:v>27.872020971284595</c:v>
              </c:pt>
              <c:pt idx="25">
                <c:v>28.835532268807444</c:v>
              </c:pt>
              <c:pt idx="26">
                <c:v>29.79920758227064</c:v>
              </c:pt>
              <c:pt idx="27">
                <c:v>30.763179601475578</c:v>
              </c:pt>
              <c:pt idx="28">
                <c:v>31.727593009656744</c:v>
              </c:pt>
              <c:pt idx="29">
                <c:v>32.692605266110228</c:v>
              </c:pt>
              <c:pt idx="30">
                <c:v>33.658387441517917</c:v>
              </c:pt>
              <c:pt idx="31">
                <c:v>34.625125110712858</c:v>
              </c:pt>
              <c:pt idx="32">
                <c:v>35.593019308159789</c:v>
              </c:pt>
              <c:pt idx="33">
                <c:v>35.6608207317487</c:v>
              </c:pt>
            </c:numLit>
          </c:xVal>
          <c:yVal>
            <c:numLit>
              <c:formatCode>General</c:formatCode>
              <c:ptCount val="34"/>
              <c:pt idx="0">
                <c:v>3.5145483305064288E-3</c:v>
              </c:pt>
              <c:pt idx="1">
                <c:v>3.7688856243217176E-3</c:v>
              </c:pt>
              <c:pt idx="2">
                <c:v>4.0394782666273339E-3</c:v>
              </c:pt>
              <c:pt idx="3">
                <c:v>4.3272279941113561E-3</c:v>
              </c:pt>
              <c:pt idx="4">
                <c:v>4.6330795679808117E-3</c:v>
              </c:pt>
              <c:pt idx="5">
                <c:v>4.9580226239490759E-3</c:v>
              </c:pt>
              <c:pt idx="6">
                <c:v>5.3032001625822091E-3</c:v>
              </c:pt>
              <c:pt idx="7">
                <c:v>5.669605785216322E-3</c:v>
              </c:pt>
              <c:pt idx="8">
                <c:v>6.0583771686071762E-3</c:v>
              </c:pt>
              <c:pt idx="9">
                <c:v>6.4707053321746109E-3</c:v>
              </c:pt>
              <c:pt idx="10">
                <c:v>6.907837014116615E-3</c:v>
              </c:pt>
              <c:pt idx="11">
                <c:v>7.3710771764237074E-3</c:v>
              </c:pt>
              <c:pt idx="12">
                <c:v>7.861791648811841E-3</c:v>
              </c:pt>
              <c:pt idx="13">
                <c:v>8.3814099225061629E-3</c:v>
              </c:pt>
              <c:pt idx="14">
                <c:v>8.9314281058126502E-3</c:v>
              </c:pt>
              <c:pt idx="15">
                <c:v>9.513412054512508E-3</c:v>
              </c:pt>
              <c:pt idx="16">
                <c:v>1.0129000691320653E-2</c:v>
              </c:pt>
              <c:pt idx="17">
                <c:v>1.0779909529971536E-2</c:v>
              </c:pt>
              <c:pt idx="18">
                <c:v>1.1467934420950916E-2</c:v>
              </c:pt>
              <c:pt idx="19">
                <c:v>1.2194955537489258E-2</c:v>
              </c:pt>
              <c:pt idx="20">
                <c:v>1.2962941622193738E-2</c:v>
              </c:pt>
              <c:pt idx="21">
                <c:v>1.3774234913153584E-2</c:v>
              </c:pt>
              <c:pt idx="22">
                <c:v>1.4630750441318861E-2</c:v>
              </c:pt>
              <c:pt idx="23">
                <c:v>1.5534754206521045E-2</c:v>
              </c:pt>
              <c:pt idx="24">
                <c:v>1.6488621082355326E-2</c:v>
              </c:pt>
              <c:pt idx="25">
                <c:v>1.7494840764332612E-2</c:v>
              </c:pt>
              <c:pt idx="26">
                <c:v>1.855602415108653E-2</c:v>
              </c:pt>
              <c:pt idx="27">
                <c:v>1.9674910197905987E-2</c:v>
              </c:pt>
              <c:pt idx="28">
                <c:v>2.0854373285847501E-2</c:v>
              </c:pt>
              <c:pt idx="29">
                <c:v>2.2097431154118136E-2</c:v>
              </c:pt>
              <c:pt idx="30">
                <c:v>2.3407253448369258E-2</c:v>
              </c:pt>
              <c:pt idx="31">
                <c:v>2.4787170943062022E-2</c:v>
              </c:pt>
              <c:pt idx="32">
                <c:v>2.6240685502247823E-2</c:v>
              </c:pt>
              <c:pt idx="33">
                <c:v>2.6345281786232348E-2</c:v>
              </c:pt>
            </c:numLit>
          </c:yVal>
          <c:smooth val="1"/>
          <c:extLst>
            <c:ext xmlns:c16="http://schemas.microsoft.com/office/drawing/2014/chart" uri="{C3380CC4-5D6E-409C-BE32-E72D297353CC}">
              <c16:uniqueId val="{00000060-A7BE-467A-B563-E2660BEB21C7}"/>
            </c:ext>
          </c:extLst>
        </c:ser>
        <c:ser>
          <c:idx val="70"/>
          <c:order val="70"/>
          <c:tx>
            <c:v>RH=65_Label</c:v>
          </c:tx>
          <c:spPr>
            <a:ln w="3175">
              <a:solidFill>
                <a:srgbClr val="0000FF"/>
              </a:solidFill>
              <a:prstDash val="solid"/>
            </a:ln>
          </c:spPr>
          <c:marker>
            <c:symbol val="none"/>
          </c:marker>
          <c:dLbls>
            <c:dLbl>
              <c:idx val="0"/>
              <c:tx>
                <c:rich>
                  <a:bodyPr rot="-41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65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35.864266136139911</c:v>
              </c:pt>
            </c:numLit>
          </c:xVal>
          <c:yVal>
            <c:numLit>
              <c:formatCode>General</c:formatCode>
              <c:ptCount val="1"/>
              <c:pt idx="0">
                <c:v>2.6661355225148568E-2</c:v>
              </c:pt>
            </c:numLit>
          </c:yVal>
          <c:smooth val="0"/>
          <c:extLst>
            <c:ext xmlns:c16="http://schemas.microsoft.com/office/drawing/2014/chart" uri="{C3380CC4-5D6E-409C-BE32-E72D297353CC}">
              <c16:uniqueId val="{00000062-A7BE-467A-B563-E2660BEB21C7}"/>
            </c:ext>
          </c:extLst>
        </c:ser>
        <c:ser>
          <c:idx val="71"/>
          <c:order val="71"/>
          <c:tx>
            <c:v>RH=65_2</c:v>
          </c:tx>
          <c:spPr>
            <a:ln w="3175">
              <a:solidFill>
                <a:srgbClr val="0000FF"/>
              </a:solidFill>
              <a:prstDash val="solid"/>
            </a:ln>
          </c:spPr>
          <c:marker>
            <c:symbol val="none"/>
          </c:marker>
          <c:xVal>
            <c:numLit>
              <c:formatCode>General</c:formatCode>
              <c:ptCount val="6"/>
              <c:pt idx="0">
                <c:v>36.242263035036686</c:v>
              </c:pt>
              <c:pt idx="1">
                <c:v>37.21258228763962</c:v>
              </c:pt>
              <c:pt idx="2">
                <c:v>38.184678626818382</c:v>
              </c:pt>
              <c:pt idx="3">
                <c:v>39.158808596970694</c:v>
              </c:pt>
              <c:pt idx="4">
                <c:v>40.135265178044477</c:v>
              </c:pt>
              <c:pt idx="5">
                <c:v>40.076606477884553</c:v>
              </c:pt>
            </c:numLit>
          </c:xVal>
          <c:yVal>
            <c:numLit>
              <c:formatCode>General</c:formatCode>
              <c:ptCount val="6"/>
              <c:pt idx="0">
                <c:v>2.7257540483948732E-2</c:v>
              </c:pt>
              <c:pt idx="1">
                <c:v>2.8842270667047181E-2</c:v>
              </c:pt>
              <c:pt idx="2">
                <c:v>3.0510871147852711E-2</c:v>
              </c:pt>
              <c:pt idx="3">
                <c:v>3.2267797363988486E-2</c:v>
              </c:pt>
              <c:pt idx="4">
                <c:v>3.411742728538282E-2</c:v>
              </c:pt>
              <c:pt idx="5">
                <c:v>3.4000000000000002E-2</c:v>
              </c:pt>
            </c:numLit>
          </c:yVal>
          <c:smooth val="1"/>
          <c:extLst>
            <c:ext xmlns:c16="http://schemas.microsoft.com/office/drawing/2014/chart" uri="{C3380CC4-5D6E-409C-BE32-E72D297353CC}">
              <c16:uniqueId val="{00000063-A7BE-467A-B563-E2660BEB21C7}"/>
            </c:ext>
          </c:extLst>
        </c:ser>
        <c:ser>
          <c:idx val="72"/>
          <c:order val="72"/>
          <c:tx>
            <c:v>RH=75_1</c:v>
          </c:tx>
          <c:spPr>
            <a:ln w="3175">
              <a:solidFill>
                <a:srgbClr val="0000FF"/>
              </a:solidFill>
              <a:prstDash val="solid"/>
            </a:ln>
          </c:spPr>
          <c:marker>
            <c:symbol val="none"/>
          </c:marker>
          <c:xVal>
            <c:numLit>
              <c:formatCode>General</c:formatCode>
              <c:ptCount val="32"/>
              <c:pt idx="0">
                <c:v>4.5422377972235992</c:v>
              </c:pt>
              <c:pt idx="1">
                <c:v>5.5171278811383822</c:v>
              </c:pt>
              <c:pt idx="2">
                <c:v>6.4910509537931018</c:v>
              </c:pt>
              <c:pt idx="3">
                <c:v>7.4639988374424178</c:v>
              </c:pt>
              <c:pt idx="4">
                <c:v>8.4359657633673617</c:v>
              </c:pt>
              <c:pt idx="5">
                <c:v>9.4069486066937671</c:v>
              </c:pt>
              <c:pt idx="6">
                <c:v>10.376934599464251</c:v>
              </c:pt>
              <c:pt idx="7">
                <c:v>11.345937932799171</c:v>
              </c:pt>
              <c:pt idx="8">
                <c:v>12.313964894111926</c:v>
              </c:pt>
              <c:pt idx="9">
                <c:v>13.281025492521932</c:v>
              </c:pt>
              <c:pt idx="10">
                <c:v>14.247133766801594</c:v>
              </c:pt>
              <c:pt idx="11">
                <c:v>15.212308110289335</c:v>
              </c:pt>
              <c:pt idx="12">
                <c:v>16.176571613731674</c:v>
              </c:pt>
              <c:pt idx="13">
                <c:v>17.139952427108085</c:v>
              </c:pt>
              <c:pt idx="14">
                <c:v>18.102484141592964</c:v>
              </c:pt>
              <c:pt idx="15">
                <c:v>19.064206192922146</c:v>
              </c:pt>
              <c:pt idx="16">
                <c:v>20.025164287557097</c:v>
              </c:pt>
              <c:pt idx="17">
                <c:v>20.985410853180657</c:v>
              </c:pt>
              <c:pt idx="18">
                <c:v>21.945005515214856</c:v>
              </c:pt>
              <c:pt idx="19">
                <c:v>22.90401560122675</c:v>
              </c:pt>
              <c:pt idx="20">
                <c:v>23.862516675283384</c:v>
              </c:pt>
              <c:pt idx="21">
                <c:v>24.820569013258421</c:v>
              </c:pt>
              <c:pt idx="22">
                <c:v>25.778288674898814</c:v>
              </c:pt>
              <c:pt idx="23">
                <c:v>26.735779446391206</c:v>
              </c:pt>
              <c:pt idx="24">
                <c:v>27.693155844686149</c:v>
              </c:pt>
              <c:pt idx="25">
                <c:v>28.650543842257665</c:v>
              </c:pt>
              <c:pt idx="26">
                <c:v>29.608081639886663</c:v>
              </c:pt>
              <c:pt idx="27">
                <c:v>30.565920491730243</c:v>
              </c:pt>
              <c:pt idx="28">
                <c:v>31.524225587419728</c:v>
              </c:pt>
              <c:pt idx="29">
                <c:v>32.483176996470533</c:v>
              </c:pt>
              <c:pt idx="30">
                <c:v>33.442970680894028</c:v>
              </c:pt>
              <c:pt idx="31">
                <c:v>33.462176578545318</c:v>
              </c:pt>
            </c:numLit>
          </c:xVal>
          <c:yVal>
            <c:numLit>
              <c:formatCode>General</c:formatCode>
              <c:ptCount val="32"/>
              <c:pt idx="0">
                <c:v>4.0587764497889908E-3</c:v>
              </c:pt>
              <c:pt idx="1">
                <c:v>4.3527719675160188E-3</c:v>
              </c:pt>
              <c:pt idx="2">
                <c:v>4.6655981454723928E-3</c:v>
              </c:pt>
              <c:pt idx="3">
                <c:v>4.998305242240709E-3</c:v>
              </c:pt>
              <c:pt idx="4">
                <c:v>5.3519943600493667E-3</c:v>
              </c:pt>
              <c:pt idx="5">
                <c:v>5.727819716456117E-3</c:v>
              </c:pt>
              <c:pt idx="6">
                <c:v>6.1271143004786397E-3</c:v>
              </c:pt>
              <c:pt idx="7">
                <c:v>6.5510398208286965E-3</c:v>
              </c:pt>
              <c:pt idx="8">
                <c:v>7.0009263189632839E-3</c:v>
              </c:pt>
              <c:pt idx="9">
                <c:v>7.4781674371684767E-3</c:v>
              </c:pt>
              <c:pt idx="10">
                <c:v>7.9842233881256032E-3</c:v>
              </c:pt>
              <c:pt idx="11">
                <c:v>8.5206240973003389E-3</c:v>
              </c:pt>
              <c:pt idx="12">
                <c:v>9.0889725322134893E-3</c:v>
              </c:pt>
              <c:pt idx="13">
                <c:v>9.6909482339747766E-3</c:v>
              </c:pt>
              <c:pt idx="14">
                <c:v>1.032831106791901E-2</c:v>
              </c:pt>
              <c:pt idx="15">
                <c:v>1.1002905211784977E-2</c:v>
              </c:pt>
              <c:pt idx="16">
                <c:v>1.1716663401643478E-2</c:v>
              </c:pt>
              <c:pt idx="17">
                <c:v>1.2471611457725566E-2</c:v>
              </c:pt>
              <c:pt idx="18">
                <c:v>1.3269873114451802E-2</c:v>
              </c:pt>
              <c:pt idx="19">
                <c:v>1.411367518133497E-2</c:v>
              </c:pt>
              <c:pt idx="20">
                <c:v>1.5005353064056037E-2</c:v>
              </c:pt>
              <c:pt idx="21">
                <c:v>1.5947682428253101E-2</c:v>
              </c:pt>
              <c:pt idx="22">
                <c:v>1.6942950000713969E-2</c:v>
              </c:pt>
              <c:pt idx="23">
                <c:v>1.7993857907901072E-2</c:v>
              </c:pt>
              <c:pt idx="24">
                <c:v>1.9103243537427081E-2</c:v>
              </c:pt>
              <c:pt idx="25">
                <c:v>2.0274087435615103E-2</c:v>
              </c:pt>
              <c:pt idx="26">
                <c:v>2.1509521816805131E-2</c:v>
              </c:pt>
              <c:pt idx="27">
                <c:v>2.2812839742558086E-2</c:v>
              </c:pt>
              <c:pt idx="28">
                <c:v>2.4187505035121452E-2</c:v>
              </c:pt>
              <c:pt idx="29">
                <c:v>2.5637162996482617E-2</c:v>
              </c:pt>
              <c:pt idx="30">
                <c:v>2.7165652012150762E-2</c:v>
              </c:pt>
              <c:pt idx="31">
                <c:v>2.7197053284175904E-2</c:v>
              </c:pt>
            </c:numLit>
          </c:yVal>
          <c:smooth val="1"/>
          <c:extLst>
            <c:ext xmlns:c16="http://schemas.microsoft.com/office/drawing/2014/chart" uri="{C3380CC4-5D6E-409C-BE32-E72D297353CC}">
              <c16:uniqueId val="{00000064-A7BE-467A-B563-E2660BEB21C7}"/>
            </c:ext>
          </c:extLst>
        </c:ser>
        <c:ser>
          <c:idx val="73"/>
          <c:order val="73"/>
          <c:tx>
            <c:v>RH=75_Label</c:v>
          </c:tx>
          <c:spPr>
            <a:ln w="3175">
              <a:solidFill>
                <a:srgbClr val="0000FF"/>
              </a:solidFill>
              <a:prstDash val="solid"/>
            </a:ln>
          </c:spPr>
          <c:marker>
            <c:symbol val="none"/>
          </c:marker>
          <c:dLbls>
            <c:dLbl>
              <c:idx val="0"/>
              <c:tx>
                <c:rich>
                  <a:bodyPr rot="-420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75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33.64465396824675</c:v>
              </c:pt>
            </c:numLit>
          </c:xVal>
          <c:yVal>
            <c:numLit>
              <c:formatCode>General</c:formatCode>
              <c:ptCount val="1"/>
              <c:pt idx="0">
                <c:v>2.7497024727756406E-2</c:v>
              </c:pt>
            </c:numLit>
          </c:yVal>
          <c:smooth val="0"/>
          <c:extLst>
            <c:ext xmlns:c16="http://schemas.microsoft.com/office/drawing/2014/chart" uri="{C3380CC4-5D6E-409C-BE32-E72D297353CC}">
              <c16:uniqueId val="{00000066-A7BE-467A-B563-E2660BEB21C7}"/>
            </c:ext>
          </c:extLst>
        </c:ser>
        <c:ser>
          <c:idx val="74"/>
          <c:order val="74"/>
          <c:tx>
            <c:v>RH=75_2</c:v>
          </c:tx>
          <c:spPr>
            <a:ln w="3175">
              <a:solidFill>
                <a:srgbClr val="0000FF"/>
              </a:solidFill>
              <a:prstDash val="solid"/>
            </a:ln>
          </c:spPr>
          <c:marker>
            <c:symbol val="none"/>
          </c:marker>
          <c:xVal>
            <c:numLit>
              <c:formatCode>General</c:formatCode>
              <c:ptCount val="6"/>
              <c:pt idx="0">
                <c:v>34.038558407533799</c:v>
              </c:pt>
              <c:pt idx="1">
                <c:v>35.000176392063786</c:v>
              </c:pt>
              <c:pt idx="2">
                <c:v>35.963233624887273</c:v>
              </c:pt>
              <c:pt idx="3">
                <c:v>36.92799331617649</c:v>
              </c:pt>
              <c:pt idx="4">
                <c:v>37.894740341971847</c:v>
              </c:pt>
              <c:pt idx="5">
                <c:v>37.217795199062479</c:v>
              </c:pt>
            </c:numLit>
          </c:xVal>
          <c:yVal>
            <c:numLit>
              <c:formatCode>General</c:formatCode>
              <c:ptCount val="6"/>
              <c:pt idx="0">
                <c:v>2.8154668854385681E-2</c:v>
              </c:pt>
              <c:pt idx="1">
                <c:v>2.9819542033272452E-2</c:v>
              </c:pt>
              <c:pt idx="2">
                <c:v>3.1574313528446661E-2</c:v>
              </c:pt>
              <c:pt idx="3">
                <c:v>3.3423633998728615E-2</c:v>
              </c:pt>
              <c:pt idx="4">
                <c:v>3.5372415074476492E-2</c:v>
              </c:pt>
              <c:pt idx="5">
                <c:v>3.4000000000000002E-2</c:v>
              </c:pt>
            </c:numLit>
          </c:yVal>
          <c:smooth val="1"/>
          <c:extLst>
            <c:ext xmlns:c16="http://schemas.microsoft.com/office/drawing/2014/chart" uri="{C3380CC4-5D6E-409C-BE32-E72D297353CC}">
              <c16:uniqueId val="{00000067-A7BE-467A-B563-E2660BEB21C7}"/>
            </c:ext>
          </c:extLst>
        </c:ser>
        <c:ser>
          <c:idx val="75"/>
          <c:order val="75"/>
          <c:tx>
            <c:v>RH=85_1</c:v>
          </c:tx>
          <c:spPr>
            <a:ln w="3175">
              <a:solidFill>
                <a:srgbClr val="0000FF"/>
              </a:solidFill>
              <a:prstDash val="solid"/>
            </a:ln>
          </c:spPr>
          <c:marker>
            <c:symbol val="none"/>
          </c:marker>
          <c:xVal>
            <c:numLit>
              <c:formatCode>General</c:formatCode>
              <c:ptCount val="30"/>
              <c:pt idx="0">
                <c:v>4.4807510505349528</c:v>
              </c:pt>
              <c:pt idx="1">
                <c:v>5.4522338112753461</c:v>
              </c:pt>
              <c:pt idx="2">
                <c:v>6.422613601966642</c:v>
              </c:pt>
              <c:pt idx="3">
                <c:v>7.3918804262736062</c:v>
              </c:pt>
              <c:pt idx="4">
                <c:v>8.3600269557692464</c:v>
              </c:pt>
              <c:pt idx="5">
                <c:v>9.327048792379518</c:v>
              </c:pt>
              <c:pt idx="6">
                <c:v>10.292930502128414</c:v>
              </c:pt>
              <c:pt idx="7">
                <c:v>11.257687196914826</c:v>
              </c:pt>
              <c:pt idx="8">
                <c:v>12.221324924554521</c:v>
              </c:pt>
              <c:pt idx="9">
                <c:v>13.183853870375083</c:v>
              </c:pt>
              <c:pt idx="10">
                <c:v>14.145288703047784</c:v>
              </c:pt>
              <c:pt idx="11">
                <c:v>15.105648939950319</c:v>
              </c:pt>
              <c:pt idx="12">
                <c:v>16.064959333245092</c:v>
              </c:pt>
              <c:pt idx="13">
                <c:v>17.023250277975528</c:v>
              </c:pt>
              <c:pt idx="14">
                <c:v>17.98055824361391</c:v>
              </c:pt>
              <c:pt idx="15">
                <c:v>18.936926230641756</c:v>
              </c:pt>
              <c:pt idx="16">
                <c:v>19.89240425390815</c:v>
              </c:pt>
              <c:pt idx="17">
                <c:v>20.847049854696017</c:v>
              </c:pt>
              <c:pt idx="18">
                <c:v>21.800928643632524</c:v>
              </c:pt>
              <c:pt idx="19">
                <c:v>22.754114876810977</c:v>
              </c:pt>
              <c:pt idx="20">
                <c:v>23.706692067750197</c:v>
              </c:pt>
              <c:pt idx="21">
                <c:v>24.65872614701615</c:v>
              </c:pt>
              <c:pt idx="22">
                <c:v>25.610346546218974</c:v>
              </c:pt>
              <c:pt idx="23">
                <c:v>26.561668589459185</c:v>
              </c:pt>
              <c:pt idx="24">
                <c:v>27.51281973645531</c:v>
              </c:pt>
              <c:pt idx="25">
                <c:v>28.463940425833659</c:v>
              </c:pt>
              <c:pt idx="26">
                <c:v>29.415184977631171</c:v>
              </c:pt>
              <c:pt idx="27">
                <c:v>30.366722560599808</c:v>
              </c:pt>
              <c:pt idx="28">
                <c:v>31.318738230559298</c:v>
              </c:pt>
              <c:pt idx="29">
                <c:v>31.537790345952249</c:v>
              </c:pt>
            </c:numLit>
          </c:xVal>
          <c:yVal>
            <c:numLit>
              <c:formatCode>General</c:formatCode>
              <c:ptCount val="30"/>
              <c:pt idx="0">
                <c:v>4.6039524340017379E-3</c:v>
              </c:pt>
              <c:pt idx="1">
                <c:v>4.9377489772132778E-3</c:v>
              </c:pt>
              <c:pt idx="2">
                <c:v>5.2929717188040567E-3</c:v>
              </c:pt>
              <c:pt idx="3">
                <c:v>5.6708221280010393E-3</c:v>
              </c:pt>
              <c:pt idx="4">
                <c:v>6.0725606724782053E-3</c:v>
              </c:pt>
              <c:pt idx="5">
                <c:v>6.4995095513268536E-3</c:v>
              </c:pt>
              <c:pt idx="6">
                <c:v>6.9531956486687616E-3</c:v>
              </c:pt>
              <c:pt idx="7">
                <c:v>7.4349530058112978E-3</c:v>
              </c:pt>
              <c:pt idx="8">
                <c:v>7.9463088445744789E-3</c:v>
              </c:pt>
              <c:pt idx="9">
                <c:v>8.4888648304659586E-3</c:v>
              </c:pt>
              <c:pt idx="10">
                <c:v>9.06430070349914E-3</c:v>
              </c:pt>
              <c:pt idx="11">
                <c:v>9.6743781334406344E-3</c:v>
              </c:pt>
              <c:pt idx="12">
                <c:v>1.0320944818470866E-2</c:v>
              </c:pt>
              <c:pt idx="13">
                <c:v>1.1005938848080411E-2</c:v>
              </c:pt>
              <c:pt idx="14">
                <c:v>1.1731393353058893E-2</c:v>
              </c:pt>
              <c:pt idx="15">
                <c:v>1.2499441467676403E-2</c:v>
              </c:pt>
              <c:pt idx="16">
                <c:v>1.3312321631641564E-2</c:v>
              </c:pt>
              <c:pt idx="17">
                <c:v>1.4172383262167699E-2</c:v>
              </c:pt>
              <c:pt idx="18">
                <c:v>1.5082092829528373E-2</c:v>
              </c:pt>
              <c:pt idx="19">
                <c:v>1.6044040372864291E-2</c:v>
              </c:pt>
              <c:pt idx="20">
                <c:v>1.7060946496765018E-2</c:v>
              </c:pt>
              <c:pt idx="21">
                <c:v>1.8136041614270838E-2</c:v>
              </c:pt>
              <c:pt idx="22">
                <c:v>1.927200681697978E-2</c:v>
              </c:pt>
              <c:pt idx="23">
                <c:v>2.0472006211149706E-2</c:v>
              </c:pt>
              <c:pt idx="24">
                <c:v>2.1739368572013393E-2</c:v>
              </c:pt>
              <c:pt idx="25">
                <c:v>2.3077597544972229E-2</c:v>
              </c:pt>
              <c:pt idx="26">
                <c:v>2.4490382680538238E-2</c:v>
              </c:pt>
              <c:pt idx="27">
                <c:v>2.598161138577779E-2</c:v>
              </c:pt>
              <c:pt idx="28">
                <c:v>2.7555381884283942E-2</c:v>
              </c:pt>
              <c:pt idx="29">
                <c:v>2.7929474440168387E-2</c:v>
              </c:pt>
            </c:numLit>
          </c:yVal>
          <c:smooth val="1"/>
          <c:extLst>
            <c:ext xmlns:c16="http://schemas.microsoft.com/office/drawing/2014/chart" uri="{C3380CC4-5D6E-409C-BE32-E72D297353CC}">
              <c16:uniqueId val="{00000068-A7BE-467A-B563-E2660BEB21C7}"/>
            </c:ext>
          </c:extLst>
        </c:ser>
        <c:ser>
          <c:idx val="76"/>
          <c:order val="76"/>
          <c:tx>
            <c:v>RH=85_Label</c:v>
          </c:tx>
          <c:spPr>
            <a:ln w="3175">
              <a:solidFill>
                <a:srgbClr val="0000FF"/>
              </a:solidFill>
              <a:prstDash val="solid"/>
            </a:ln>
          </c:spPr>
          <c:marker>
            <c:symbol val="none"/>
          </c:marker>
          <c:dLbls>
            <c:dLbl>
              <c:idx val="0"/>
              <c:tx>
                <c:rich>
                  <a:bodyPr rot="-42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85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9-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31.718775361256789</c:v>
              </c:pt>
            </c:numLit>
          </c:xVal>
          <c:yVal>
            <c:numLit>
              <c:formatCode>General</c:formatCode>
              <c:ptCount val="1"/>
              <c:pt idx="0">
                <c:v>2.8242011171436866E-2</c:v>
              </c:pt>
            </c:numLit>
          </c:yVal>
          <c:smooth val="0"/>
          <c:extLst>
            <c:ext xmlns:c16="http://schemas.microsoft.com/office/drawing/2014/chart" uri="{C3380CC4-5D6E-409C-BE32-E72D297353CC}">
              <c16:uniqueId val="{0000006A-A7BE-467A-B563-E2660BEB21C7}"/>
            </c:ext>
          </c:extLst>
        </c:ser>
        <c:ser>
          <c:idx val="77"/>
          <c:order val="77"/>
          <c:tx>
            <c:v>RH=85_2</c:v>
          </c:tx>
          <c:spPr>
            <a:ln w="3175">
              <a:solidFill>
                <a:srgbClr val="0000FF"/>
              </a:solidFill>
              <a:prstDash val="solid"/>
            </a:ln>
          </c:spPr>
          <c:marker>
            <c:symbol val="none"/>
          </c:marker>
          <c:xVal>
            <c:numLit>
              <c:formatCode>General</c:formatCode>
              <c:ptCount val="5"/>
              <c:pt idx="0">
                <c:v>32.109418532649862</c:v>
              </c:pt>
              <c:pt idx="1">
                <c:v>33.062845328268864</c:v>
              </c:pt>
              <c:pt idx="2">
                <c:v>34.017370107440705</c:v>
              </c:pt>
              <c:pt idx="3">
                <c:v>34.97324988442557</c:v>
              </c:pt>
              <c:pt idx="4">
                <c:v>34.762826220327518</c:v>
              </c:pt>
            </c:numLit>
          </c:xVal>
          <c:yVal>
            <c:numLit>
              <c:formatCode>General</c:formatCode>
              <c:ptCount val="5"/>
              <c:pt idx="0">
                <c:v>2.8927387704336869E-2</c:v>
              </c:pt>
              <c:pt idx="1">
                <c:v>3.0663575739036299E-2</c:v>
              </c:pt>
              <c:pt idx="2">
                <c:v>3.2495173798558104E-2</c:v>
              </c:pt>
              <c:pt idx="3">
                <c:v>3.4427228893064293E-2</c:v>
              </c:pt>
              <c:pt idx="4">
                <c:v>3.4000000000000002E-2</c:v>
              </c:pt>
            </c:numLit>
          </c:yVal>
          <c:smooth val="1"/>
          <c:extLst>
            <c:ext xmlns:c16="http://schemas.microsoft.com/office/drawing/2014/chart" uri="{C3380CC4-5D6E-409C-BE32-E72D297353CC}">
              <c16:uniqueId val="{0000006B-A7BE-467A-B563-E2660BEB21C7}"/>
            </c:ext>
          </c:extLst>
        </c:ser>
        <c:ser>
          <c:idx val="78"/>
          <c:order val="78"/>
          <c:tx>
            <c:v>RH=95_1</c:v>
          </c:tx>
          <c:spPr>
            <a:ln w="3175">
              <a:solidFill>
                <a:srgbClr val="0000FF"/>
              </a:solidFill>
              <a:prstDash val="solid"/>
            </a:ln>
          </c:spPr>
          <c:marker>
            <c:symbol val="none"/>
          </c:marker>
          <c:xVal>
            <c:numLit>
              <c:formatCode>General</c:formatCode>
              <c:ptCount val="28"/>
              <c:pt idx="0">
                <c:v>4.4191571209826703</c:v>
              </c:pt>
              <c:pt idx="1">
                <c:v>5.3872184096577556</c:v>
              </c:pt>
              <c:pt idx="2">
                <c:v>6.3540390790985786</c:v>
              </c:pt>
              <c:pt idx="3">
                <c:v>7.3196071359700747</c:v>
              </c:pt>
              <c:pt idx="4">
                <c:v>8.2839134978404392</c:v>
              </c:pt>
              <c:pt idx="5">
                <c:v>9.2469522821928312</c:v>
              </c:pt>
              <c:pt idx="6">
                <c:v>10.208705150795296</c:v>
              </c:pt>
              <c:pt idx="7">
                <c:v>11.169187894644296</c:v>
              </c:pt>
              <c:pt idx="8">
                <c:v>12.128406052921401</c:v>
              </c:pt>
              <c:pt idx="9">
                <c:v>13.086369696710761</c:v>
              </c:pt>
              <c:pt idx="10">
                <c:v>14.043093811607175</c:v>
              </c:pt>
              <c:pt idx="11">
                <c:v>14.998598702445886</c:v>
              </c:pt>
              <c:pt idx="12">
                <c:v>15.95291042157835</c:v>
              </c:pt>
              <c:pt idx="13">
                <c:v>16.906061222266139</c:v>
              </c:pt>
              <c:pt idx="14">
                <c:v>17.858090038930932</c:v>
              </c:pt>
              <c:pt idx="15">
                <c:v>18.809042996184594</c:v>
              </c:pt>
              <c:pt idx="16">
                <c:v>19.758973948772297</c:v>
              </c:pt>
              <c:pt idx="17">
                <c:v>20.707945054796006</c:v>
              </c:pt>
              <c:pt idx="18">
                <c:v>21.656027384848812</c:v>
              </c:pt>
              <c:pt idx="19">
                <c:v>22.603301569986098</c:v>
              </c:pt>
              <c:pt idx="20">
                <c:v>23.549858491791635</c:v>
              </c:pt>
              <c:pt idx="21">
                <c:v>24.495769080943596</c:v>
              </c:pt>
              <c:pt idx="22">
                <c:v>25.441175543798025</c:v>
              </c:pt>
              <c:pt idx="23">
                <c:v>26.386204084123943</c:v>
              </c:pt>
              <c:pt idx="24">
                <c:v>27.330994425702372</c:v>
              </c:pt>
              <c:pt idx="25">
                <c:v>28.275700777985563</c:v>
              </c:pt>
              <c:pt idx="26">
                <c:v>29.220492873264387</c:v>
              </c:pt>
              <c:pt idx="27">
                <c:v>29.834741271071358</c:v>
              </c:pt>
            </c:numLit>
          </c:xVal>
          <c:yVal>
            <c:numLit>
              <c:formatCode>General</c:formatCode>
              <c:ptCount val="28"/>
              <c:pt idx="0">
                <c:v>5.1500787616026219E-3</c:v>
              </c:pt>
              <c:pt idx="1">
                <c:v>5.5238197122248938E-3</c:v>
              </c:pt>
              <c:pt idx="2">
                <c:v>5.9216027558486456E-3</c:v>
              </c:pt>
              <c:pt idx="3">
                <c:v>6.3447832889701929E-3</c:v>
              </c:pt>
              <c:pt idx="4">
                <c:v>6.7947842027213596E-3</c:v>
              </c:pt>
              <c:pt idx="5">
                <c:v>7.2730991178380543E-3</c:v>
              </c:pt>
              <c:pt idx="6">
                <c:v>7.781452769305296E-3</c:v>
              </c:pt>
              <c:pt idx="7">
                <c:v>8.3213558142954808E-3</c:v>
              </c:pt>
              <c:pt idx="8">
                <c:v>8.8945375406884828E-3</c:v>
              </c:pt>
              <c:pt idx="9">
                <c:v>9.5028131214741039E-3</c:v>
              </c:pt>
              <c:pt idx="10">
                <c:v>1.0148087977263168E-2</c:v>
              </c:pt>
              <c:pt idx="11">
                <c:v>1.0832362423004708E-2</c:v>
              </c:pt>
              <c:pt idx="12">
                <c:v>1.1557736623789566E-2</c:v>
              </c:pt>
              <c:pt idx="13">
                <c:v>1.2326415887099727E-2</c:v>
              </c:pt>
              <c:pt idx="14">
                <c:v>1.3140716321613845E-2</c:v>
              </c:pt>
              <c:pt idx="15">
                <c:v>1.4003070895725766E-2</c:v>
              </c:pt>
              <c:pt idx="16">
                <c:v>1.4916035932318635E-2</c:v>
              </c:pt>
              <c:pt idx="17">
                <c:v>1.5882298080097952E-2</c:v>
              </c:pt>
              <c:pt idx="18">
                <c:v>1.6904681805977675E-2</c:v>
              </c:pt>
              <c:pt idx="19">
                <c:v>1.7986157457680306E-2</c:v>
              </c:pt>
              <c:pt idx="20">
                <c:v>1.9129849950925981E-2</c:v>
              </c:pt>
              <c:pt idx="21">
                <c:v>2.0339466459284167E-2</c:v>
              </c:pt>
              <c:pt idx="22">
                <c:v>2.1618105913140111E-2</c:v>
              </c:pt>
              <c:pt idx="23">
                <c:v>2.2969421213516063E-2</c:v>
              </c:pt>
              <c:pt idx="24">
                <c:v>2.4397262536230927E-2</c:v>
              </c:pt>
              <c:pt idx="25">
                <c:v>2.5905690223215695E-2</c:v>
              </c:pt>
              <c:pt idx="26">
                <c:v>2.7498988778740824E-2</c:v>
              </c:pt>
              <c:pt idx="27">
                <c:v>2.858227733643565E-2</c:v>
              </c:pt>
            </c:numLit>
          </c:yVal>
          <c:smooth val="1"/>
          <c:extLst>
            <c:ext xmlns:c16="http://schemas.microsoft.com/office/drawing/2014/chart" uri="{C3380CC4-5D6E-409C-BE32-E72D297353CC}">
              <c16:uniqueId val="{0000006C-A7BE-467A-B563-E2660BEB21C7}"/>
            </c:ext>
          </c:extLst>
        </c:ser>
        <c:ser>
          <c:idx val="79"/>
          <c:order val="79"/>
          <c:tx>
            <c:v>RH=95_Label</c:v>
          </c:tx>
          <c:spPr>
            <a:ln w="3175">
              <a:solidFill>
                <a:srgbClr val="0000FF"/>
              </a:solidFill>
              <a:prstDash val="solid"/>
            </a:ln>
          </c:spPr>
          <c:marker>
            <c:symbol val="none"/>
          </c:marker>
          <c:dLbls>
            <c:dLbl>
              <c:idx val="0"/>
              <c:tx>
                <c:rich>
                  <a:bodyPr rot="-43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95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A7BE-467A-B563-E2660BEB21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30.004868414470266</c:v>
              </c:pt>
            </c:numLit>
          </c:xVal>
          <c:yVal>
            <c:numLit>
              <c:formatCode>General</c:formatCode>
              <c:ptCount val="1"/>
              <c:pt idx="0">
                <c:v>2.8889115067340505E-2</c:v>
              </c:pt>
            </c:numLit>
          </c:yVal>
          <c:smooth val="0"/>
          <c:extLst>
            <c:ext xmlns:c16="http://schemas.microsoft.com/office/drawing/2014/chart" uri="{C3380CC4-5D6E-409C-BE32-E72D297353CC}">
              <c16:uniqueId val="{0000006E-A7BE-467A-B563-E2660BEB21C7}"/>
            </c:ext>
          </c:extLst>
        </c:ser>
        <c:ser>
          <c:idx val="80"/>
          <c:order val="80"/>
          <c:tx>
            <c:v>RH=95_2</c:v>
          </c:tx>
          <c:spPr>
            <a:ln w="3175">
              <a:solidFill>
                <a:srgbClr val="0000FF"/>
              </a:solidFill>
              <a:prstDash val="solid"/>
            </a:ln>
          </c:spPr>
          <c:marker>
            <c:symbol val="none"/>
          </c:marker>
          <c:xVal>
            <c:numLit>
              <c:formatCode>General</c:formatCode>
              <c:ptCount val="5"/>
              <c:pt idx="0">
                <c:v>30.40188917353143</c:v>
              </c:pt>
              <c:pt idx="1">
                <c:v>31.347582911140009</c:v>
              </c:pt>
              <c:pt idx="2">
                <c:v>32.294035316066157</c:v>
              </c:pt>
              <c:pt idx="3">
                <c:v>33.241495650814628</c:v>
              </c:pt>
              <c:pt idx="4">
                <c:v>32.616045605326867</c:v>
              </c:pt>
            </c:numLit>
          </c:xVal>
          <c:yVal>
            <c:numLit>
              <c:formatCode>General</c:formatCode>
              <c:ptCount val="5"/>
              <c:pt idx="0">
                <c:v>2.9616877601392019E-2</c:v>
              </c:pt>
              <c:pt idx="1">
                <c:v>3.141806765809986E-2</c:v>
              </c:pt>
              <c:pt idx="2">
                <c:v>3.3319794632756784E-2</c:v>
              </c:pt>
              <c:pt idx="3">
                <c:v>3.532748273940875E-2</c:v>
              </c:pt>
              <c:pt idx="4">
                <c:v>3.4000000000000002E-2</c:v>
              </c:pt>
            </c:numLit>
          </c:yVal>
          <c:smooth val="1"/>
          <c:extLst>
            <c:ext xmlns:c16="http://schemas.microsoft.com/office/drawing/2014/chart" uri="{C3380CC4-5D6E-409C-BE32-E72D297353CC}">
              <c16:uniqueId val="{0000006F-A7BE-467A-B563-E2660BEB21C7}"/>
            </c:ext>
          </c:extLst>
        </c:ser>
        <c:dLbls>
          <c:showLegendKey val="0"/>
          <c:showVal val="0"/>
          <c:showCatName val="0"/>
          <c:showSerName val="0"/>
          <c:showPercent val="0"/>
          <c:showBubbleSize val="0"/>
        </c:dLbls>
        <c:axId val="358253584"/>
        <c:axId val="358251624"/>
      </c:scatterChart>
      <c:valAx>
        <c:axId val="358253584"/>
        <c:scaling>
          <c:orientation val="minMax"/>
          <c:max val="66.8"/>
          <c:min val="-10.226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226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A77C-4AE2-B9F8-50529FA0D411}"/>
            </c:ext>
          </c:extLst>
        </c:ser>
        <c:ser>
          <c:idx val="1"/>
          <c:order val="1"/>
          <c:tx>
            <c:v>t=-10</c:v>
          </c:tx>
          <c:spPr>
            <a:ln w="3175">
              <a:solidFill>
                <a:srgbClr val="3366FF"/>
              </a:solidFill>
              <a:prstDash val="solid"/>
            </a:ln>
          </c:spPr>
          <c:marker>
            <c:symbol val="none"/>
          </c:marker>
          <c:dLbls>
            <c:dLbl>
              <c:idx val="0"/>
              <c:layout>
                <c:manualLayout>
                  <c:x val="-1.8663194444444448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-10.225681724151015</c:v>
              </c:pt>
            </c:numLit>
          </c:xVal>
          <c:yVal>
            <c:numLit>
              <c:formatCode>General</c:formatCode>
              <c:ptCount val="2"/>
              <c:pt idx="0">
                <c:v>0</c:v>
              </c:pt>
              <c:pt idx="1">
                <c:v>1.6060824455002901E-3</c:v>
              </c:pt>
            </c:numLit>
          </c:yVal>
          <c:smooth val="0"/>
          <c:extLst>
            <c:ext xmlns:c16="http://schemas.microsoft.com/office/drawing/2014/chart" uri="{C3380CC4-5D6E-409C-BE32-E72D297353CC}">
              <c16:uniqueId val="{00000002-A77C-4AE2-B9F8-50529FA0D411}"/>
            </c:ext>
          </c:extLst>
        </c:ser>
        <c:ser>
          <c:idx val="2"/>
          <c:order val="2"/>
          <c:tx>
            <c:v>t=-9</c:v>
          </c:tx>
          <c:spPr>
            <a:ln w="3175">
              <a:solidFill>
                <a:srgbClr val="3366FF"/>
              </a:solidFill>
              <a:prstDash val="solid"/>
            </a:ln>
          </c:spPr>
          <c:marker>
            <c:symbol val="none"/>
          </c:marker>
          <c:xVal>
            <c:numLit>
              <c:formatCode>General</c:formatCode>
              <c:ptCount val="2"/>
              <c:pt idx="0">
                <c:v>-9</c:v>
              </c:pt>
              <c:pt idx="1">
                <c:v>-9.2433618528828934</c:v>
              </c:pt>
            </c:numLit>
          </c:xVal>
          <c:yVal>
            <c:numLit>
              <c:formatCode>General</c:formatCode>
              <c:ptCount val="2"/>
              <c:pt idx="0">
                <c:v>0</c:v>
              </c:pt>
              <c:pt idx="1">
                <c:v>1.754996587815E-3</c:v>
              </c:pt>
            </c:numLit>
          </c:yVal>
          <c:smooth val="0"/>
          <c:extLst>
            <c:ext xmlns:c16="http://schemas.microsoft.com/office/drawing/2014/chart" uri="{C3380CC4-5D6E-409C-BE32-E72D297353CC}">
              <c16:uniqueId val="{00000003-A77C-4AE2-B9F8-50529FA0D411}"/>
            </c:ext>
          </c:extLst>
        </c:ser>
        <c:ser>
          <c:idx val="3"/>
          <c:order val="3"/>
          <c:tx>
            <c:v>t=-8</c:v>
          </c:tx>
          <c:spPr>
            <a:ln w="3175">
              <a:solidFill>
                <a:srgbClr val="3366FF"/>
              </a:solidFill>
              <a:prstDash val="solid"/>
            </a:ln>
          </c:spPr>
          <c:marker>
            <c:symbol val="none"/>
          </c:marker>
          <c:dLbls>
            <c:dLbl>
              <c:idx val="0"/>
              <c:layout>
                <c:manualLayout>
                  <c:x val="-1.562500000000000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-8.2622094885879349</c:v>
              </c:pt>
            </c:numLit>
          </c:xVal>
          <c:yVal>
            <c:numLit>
              <c:formatCode>General</c:formatCode>
              <c:ptCount val="2"/>
              <c:pt idx="0">
                <c:v>0</c:v>
              </c:pt>
              <c:pt idx="1">
                <c:v>1.9164686538757701E-3</c:v>
              </c:pt>
            </c:numLit>
          </c:yVal>
          <c:smooth val="0"/>
          <c:extLst>
            <c:ext xmlns:c16="http://schemas.microsoft.com/office/drawing/2014/chart" uri="{C3380CC4-5D6E-409C-BE32-E72D297353CC}">
              <c16:uniqueId val="{00000005-A77C-4AE2-B9F8-50529FA0D411}"/>
            </c:ext>
          </c:extLst>
        </c:ser>
        <c:ser>
          <c:idx val="4"/>
          <c:order val="4"/>
          <c:tx>
            <c:v>t=-7</c:v>
          </c:tx>
          <c:spPr>
            <a:ln w="3175">
              <a:solidFill>
                <a:srgbClr val="3366FF"/>
              </a:solidFill>
              <a:prstDash val="solid"/>
            </a:ln>
          </c:spPr>
          <c:marker>
            <c:symbol val="none"/>
          </c:marker>
          <c:xVal>
            <c:numLit>
              <c:formatCode>General</c:formatCode>
              <c:ptCount val="2"/>
              <c:pt idx="0">
                <c:v>-7</c:v>
              </c:pt>
              <c:pt idx="1">
                <c:v>-7.2822837380168881</c:v>
              </c:pt>
            </c:numLit>
          </c:xVal>
          <c:yVal>
            <c:numLit>
              <c:formatCode>General</c:formatCode>
              <c:ptCount val="2"/>
              <c:pt idx="0">
                <c:v>0</c:v>
              </c:pt>
              <c:pt idx="1">
                <c:v>2.0914526472602E-3</c:v>
              </c:pt>
            </c:numLit>
          </c:yVal>
          <c:smooth val="0"/>
          <c:extLst>
            <c:ext xmlns:c16="http://schemas.microsoft.com/office/drawing/2014/chart" uri="{C3380CC4-5D6E-409C-BE32-E72D297353CC}">
              <c16:uniqueId val="{00000006-A77C-4AE2-B9F8-50529FA0D411}"/>
            </c:ext>
          </c:extLst>
        </c:ser>
        <c:ser>
          <c:idx val="5"/>
          <c:order val="5"/>
          <c:tx>
            <c:v>t=-6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-6.3036452906426126</c:v>
              </c:pt>
            </c:numLit>
          </c:xVal>
          <c:yVal>
            <c:numLit>
              <c:formatCode>General</c:formatCode>
              <c:ptCount val="2"/>
              <c:pt idx="0">
                <c:v>0</c:v>
              </c:pt>
              <c:pt idx="1">
                <c:v>2.28096746106981E-3</c:v>
              </c:pt>
            </c:numLit>
          </c:yVal>
          <c:smooth val="0"/>
          <c:extLst>
            <c:ext xmlns:c16="http://schemas.microsoft.com/office/drawing/2014/chart" uri="{C3380CC4-5D6E-409C-BE32-E72D297353CC}">
              <c16:uniqueId val="{00000008-A77C-4AE2-B9F8-50529FA0D411}"/>
            </c:ext>
          </c:extLst>
        </c:ser>
        <c:ser>
          <c:idx val="6"/>
          <c:order val="6"/>
          <c:tx>
            <c:v>t=-5</c:v>
          </c:tx>
          <c:spPr>
            <a:ln w="3175">
              <a:solidFill>
                <a:srgbClr val="3366FF"/>
              </a:solidFill>
              <a:prstDash val="solid"/>
            </a:ln>
          </c:spPr>
          <c:marker>
            <c:symbol val="none"/>
          </c:marker>
          <c:xVal>
            <c:numLit>
              <c:formatCode>General</c:formatCode>
              <c:ptCount val="2"/>
              <c:pt idx="0">
                <c:v>-5</c:v>
              </c:pt>
              <c:pt idx="1">
                <c:v>-5.3263563442463973</c:v>
              </c:pt>
            </c:numLit>
          </c:xVal>
          <c:yVal>
            <c:numLit>
              <c:formatCode>General</c:formatCode>
              <c:ptCount val="2"/>
              <c:pt idx="0">
                <c:v>0</c:v>
              </c:pt>
              <c:pt idx="1">
                <c:v>2.4861008807502299E-3</c:v>
              </c:pt>
            </c:numLit>
          </c:yVal>
          <c:smooth val="0"/>
          <c:extLst>
            <c:ext xmlns:c16="http://schemas.microsoft.com/office/drawing/2014/chart" uri="{C3380CC4-5D6E-409C-BE32-E72D297353CC}">
              <c16:uniqueId val="{00000009-A77C-4AE2-B9F8-50529FA0D411}"/>
            </c:ext>
          </c:extLst>
        </c:ser>
        <c:ser>
          <c:idx val="7"/>
          <c:order val="7"/>
          <c:tx>
            <c:v>t=-4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-4.3504805174478607</c:v>
              </c:pt>
            </c:numLit>
          </c:xVal>
          <c:yVal>
            <c:numLit>
              <c:formatCode>General</c:formatCode>
              <c:ptCount val="2"/>
              <c:pt idx="0">
                <c:v>0</c:v>
              </c:pt>
              <c:pt idx="1">
                <c:v>2.7080138291286299E-3</c:v>
              </c:pt>
            </c:numLit>
          </c:yVal>
          <c:smooth val="0"/>
          <c:extLst>
            <c:ext xmlns:c16="http://schemas.microsoft.com/office/drawing/2014/chart" uri="{C3380CC4-5D6E-409C-BE32-E72D297353CC}">
              <c16:uniqueId val="{0000000B-A77C-4AE2-B9F8-50529FA0D411}"/>
            </c:ext>
          </c:extLst>
        </c:ser>
        <c:ser>
          <c:idx val="8"/>
          <c:order val="8"/>
          <c:tx>
            <c:v>t=-3</c:v>
          </c:tx>
          <c:spPr>
            <a:ln w="3175">
              <a:solidFill>
                <a:srgbClr val="3366FF"/>
              </a:solidFill>
              <a:prstDash val="solid"/>
            </a:ln>
          </c:spPr>
          <c:marker>
            <c:symbol val="none"/>
          </c:marker>
          <c:xVal>
            <c:numLit>
              <c:formatCode>General</c:formatCode>
              <c:ptCount val="2"/>
              <c:pt idx="0">
                <c:v>-3</c:v>
              </c:pt>
              <c:pt idx="1">
                <c:v>-3.376082748277248</c:v>
              </c:pt>
            </c:numLit>
          </c:xVal>
          <c:yVal>
            <c:numLit>
              <c:formatCode>General</c:formatCode>
              <c:ptCount val="2"/>
              <c:pt idx="0">
                <c:v>0</c:v>
              </c:pt>
              <c:pt idx="1">
                <c:v>2.9479448711774302E-3</c:v>
              </c:pt>
            </c:numLit>
          </c:yVal>
          <c:smooth val="0"/>
          <c:extLst>
            <c:ext xmlns:c16="http://schemas.microsoft.com/office/drawing/2014/chart" uri="{C3380CC4-5D6E-409C-BE32-E72D297353CC}">
              <c16:uniqueId val="{0000000C-A77C-4AE2-B9F8-50529FA0D411}"/>
            </c:ext>
          </c:extLst>
        </c:ser>
        <c:ser>
          <c:idx val="9"/>
          <c:order val="9"/>
          <c:tx>
            <c:v>t=-2</c:v>
          </c:tx>
          <c:spPr>
            <a:ln w="3175">
              <a:solidFill>
                <a:srgbClr val="3366FF"/>
              </a:solidFill>
              <a:prstDash val="solid"/>
            </a:ln>
          </c:spPr>
          <c:marker>
            <c:symbol val="none"/>
          </c:marker>
          <c:dLbls>
            <c:dLbl>
              <c:idx val="0"/>
              <c:layout>
                <c:manualLayout>
                  <c:x val="-1.562500000000001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-2.4032291778490427</c:v>
              </c:pt>
            </c:numLit>
          </c:xVal>
          <c:yVal>
            <c:numLit>
              <c:formatCode>General</c:formatCode>
              <c:ptCount val="2"/>
              <c:pt idx="0">
                <c:v>0</c:v>
              </c:pt>
              <c:pt idx="1">
                <c:v>3.2072149977556701E-3</c:v>
              </c:pt>
            </c:numLit>
          </c:yVal>
          <c:smooth val="0"/>
          <c:extLst>
            <c:ext xmlns:c16="http://schemas.microsoft.com/office/drawing/2014/chart" uri="{C3380CC4-5D6E-409C-BE32-E72D297353CC}">
              <c16:uniqueId val="{0000000E-A77C-4AE2-B9F8-50529FA0D411}"/>
            </c:ext>
          </c:extLst>
        </c:ser>
        <c:ser>
          <c:idx val="10"/>
          <c:order val="10"/>
          <c:tx>
            <c:v>t=-1</c:v>
          </c:tx>
          <c:spPr>
            <a:ln w="3175">
              <a:solidFill>
                <a:srgbClr val="3366FF"/>
              </a:solidFill>
              <a:prstDash val="solid"/>
            </a:ln>
          </c:spPr>
          <c:marker>
            <c:symbol val="none"/>
          </c:marker>
          <c:xVal>
            <c:numLit>
              <c:formatCode>General</c:formatCode>
              <c:ptCount val="2"/>
              <c:pt idx="0">
                <c:v>-1</c:v>
              </c:pt>
              <c:pt idx="1">
                <c:v>-1.4319870181527781</c:v>
              </c:pt>
            </c:numLit>
          </c:xVal>
          <c:yVal>
            <c:numLit>
              <c:formatCode>General</c:formatCode>
              <c:ptCount val="2"/>
              <c:pt idx="0">
                <c:v>0</c:v>
              </c:pt>
              <c:pt idx="1">
                <c:v>3.4872327095305301E-3</c:v>
              </c:pt>
            </c:numLit>
          </c:yVal>
          <c:smooth val="0"/>
          <c:extLst>
            <c:ext xmlns:c16="http://schemas.microsoft.com/office/drawing/2014/chart" uri="{C3380CC4-5D6E-409C-BE32-E72D297353CC}">
              <c16:uniqueId val="{0000000F-A77C-4AE2-B9F8-50529FA0D411}"/>
            </c:ext>
          </c:extLst>
        </c:ser>
        <c:ser>
          <c:idx val="11"/>
          <c:order val="11"/>
          <c:tx>
            <c:v>t=0</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c:v>
              </c:pt>
              <c:pt idx="1">
                <c:v>-0.46242440293020987</c:v>
              </c:pt>
            </c:numLit>
          </c:xVal>
          <c:yVal>
            <c:numLit>
              <c:formatCode>General</c:formatCode>
              <c:ptCount val="2"/>
              <c:pt idx="0">
                <c:v>0</c:v>
              </c:pt>
              <c:pt idx="1">
                <c:v>3.7894994244688099E-3</c:v>
              </c:pt>
            </c:numLit>
          </c:yVal>
          <c:smooth val="0"/>
          <c:extLst>
            <c:ext xmlns:c16="http://schemas.microsoft.com/office/drawing/2014/chart" uri="{C3380CC4-5D6E-409C-BE32-E72D297353CC}">
              <c16:uniqueId val="{00000011-A77C-4AE2-B9F8-50529FA0D411}"/>
            </c:ext>
          </c:extLst>
        </c:ser>
        <c:ser>
          <c:idx val="12"/>
          <c:order val="12"/>
          <c:tx>
            <c:v>t=1</c:v>
          </c:tx>
          <c:spPr>
            <a:ln w="3175">
              <a:solidFill>
                <a:srgbClr val="3366FF"/>
              </a:solidFill>
              <a:prstDash val="solid"/>
            </a:ln>
          </c:spPr>
          <c:marker>
            <c:symbol val="none"/>
          </c:marker>
          <c:xVal>
            <c:numLit>
              <c:formatCode>General</c:formatCode>
              <c:ptCount val="2"/>
              <c:pt idx="0">
                <c:v>1</c:v>
              </c:pt>
              <c:pt idx="1">
                <c:v>0.51015043441492314</c:v>
              </c:pt>
            </c:numLit>
          </c:xVal>
          <c:yVal>
            <c:numLit>
              <c:formatCode>General</c:formatCode>
              <c:ptCount val="2"/>
              <c:pt idx="0">
                <c:v>0</c:v>
              </c:pt>
              <c:pt idx="1">
                <c:v>4.0760021751744197E-3</c:v>
              </c:pt>
            </c:numLit>
          </c:yVal>
          <c:smooth val="0"/>
          <c:extLst>
            <c:ext xmlns:c16="http://schemas.microsoft.com/office/drawing/2014/chart" uri="{C3380CC4-5D6E-409C-BE32-E72D297353CC}">
              <c16:uniqueId val="{00000012-A77C-4AE2-B9F8-50529FA0D411}"/>
            </c:ext>
          </c:extLst>
        </c:ser>
        <c:ser>
          <c:idx val="13"/>
          <c:order val="13"/>
          <c:tx>
            <c:v>t=2</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1.4815626096994841</c:v>
              </c:pt>
            </c:numLit>
          </c:xVal>
          <c:yVal>
            <c:numLit>
              <c:formatCode>General</c:formatCode>
              <c:ptCount val="2"/>
              <c:pt idx="0">
                <c:v>0</c:v>
              </c:pt>
              <c:pt idx="1">
                <c:v>4.3812837251538898E-3</c:v>
              </c:pt>
            </c:numLit>
          </c:yVal>
          <c:smooth val="0"/>
          <c:extLst>
            <c:ext xmlns:c16="http://schemas.microsoft.com/office/drawing/2014/chart" uri="{C3380CC4-5D6E-409C-BE32-E72D297353CC}">
              <c16:uniqueId val="{00000014-A77C-4AE2-B9F8-50529FA0D411}"/>
            </c:ext>
          </c:extLst>
        </c:ser>
        <c:ser>
          <c:idx val="14"/>
          <c:order val="14"/>
          <c:tx>
            <c:v>t=3</c:v>
          </c:tx>
          <c:spPr>
            <a:ln w="3175">
              <a:solidFill>
                <a:srgbClr val="3366FF"/>
              </a:solidFill>
              <a:prstDash val="solid"/>
            </a:ln>
          </c:spPr>
          <c:marker>
            <c:symbol val="none"/>
          </c:marker>
          <c:xVal>
            <c:numLit>
              <c:formatCode>General</c:formatCode>
              <c:ptCount val="2"/>
              <c:pt idx="0">
                <c:v>3</c:v>
              </c:pt>
              <c:pt idx="1">
                <c:v>2.4517428387577267</c:v>
              </c:pt>
            </c:numLit>
          </c:xVal>
          <c:yVal>
            <c:numLit>
              <c:formatCode>General</c:formatCode>
              <c:ptCount val="2"/>
              <c:pt idx="0">
                <c:v>0</c:v>
              </c:pt>
              <c:pt idx="1">
                <c:v>4.7068331132422503E-3</c:v>
              </c:pt>
            </c:numLit>
          </c:yVal>
          <c:smooth val="0"/>
          <c:extLst>
            <c:ext xmlns:c16="http://schemas.microsoft.com/office/drawing/2014/chart" uri="{C3380CC4-5D6E-409C-BE32-E72D297353CC}">
              <c16:uniqueId val="{00000015-A77C-4AE2-B9F8-50529FA0D411}"/>
            </c:ext>
          </c:extLst>
        </c:ser>
        <c:ser>
          <c:idx val="15"/>
          <c:order val="15"/>
          <c:tx>
            <c:v>t=4</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3.4206687308458332</c:v>
              </c:pt>
            </c:numLit>
          </c:xVal>
          <c:yVal>
            <c:numLit>
              <c:formatCode>General</c:formatCode>
              <c:ptCount val="2"/>
              <c:pt idx="0">
                <c:v>0</c:v>
              </c:pt>
              <c:pt idx="1">
                <c:v>5.0538263680982602E-3</c:v>
              </c:pt>
            </c:numLit>
          </c:yVal>
          <c:smooth val="0"/>
          <c:extLst>
            <c:ext xmlns:c16="http://schemas.microsoft.com/office/drawing/2014/chart" uri="{C3380CC4-5D6E-409C-BE32-E72D297353CC}">
              <c16:uniqueId val="{00000017-A77C-4AE2-B9F8-50529FA0D411}"/>
            </c:ext>
          </c:extLst>
        </c:ser>
        <c:ser>
          <c:idx val="16"/>
          <c:order val="16"/>
          <c:tx>
            <c:v>t=5</c:v>
          </c:tx>
          <c:spPr>
            <a:ln w="3175">
              <a:solidFill>
                <a:srgbClr val="3366FF"/>
              </a:solidFill>
              <a:prstDash val="solid"/>
            </a:ln>
          </c:spPr>
          <c:marker>
            <c:symbol val="none"/>
          </c:marker>
          <c:xVal>
            <c:numLit>
              <c:formatCode>General</c:formatCode>
              <c:ptCount val="2"/>
              <c:pt idx="0">
                <c:v>5</c:v>
              </c:pt>
              <c:pt idx="1">
                <c:v>4.388319875013365</c:v>
              </c:pt>
            </c:numLit>
          </c:xVal>
          <c:yVal>
            <c:numLit>
              <c:formatCode>General</c:formatCode>
              <c:ptCount val="2"/>
              <c:pt idx="0">
                <c:v>0</c:v>
              </c:pt>
              <c:pt idx="1">
                <c:v>5.4234990810554801E-3</c:v>
              </c:pt>
            </c:numLit>
          </c:yVal>
          <c:smooth val="0"/>
          <c:extLst>
            <c:ext xmlns:c16="http://schemas.microsoft.com/office/drawing/2014/chart" uri="{C3380CC4-5D6E-409C-BE32-E72D297353CC}">
              <c16:uniqueId val="{00000018-A77C-4AE2-B9F8-50529FA0D411}"/>
            </c:ext>
          </c:extLst>
        </c:ser>
        <c:ser>
          <c:idx val="17"/>
          <c:order val="17"/>
          <c:tx>
            <c:v>t=6</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9-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5.3546651030540735</c:v>
              </c:pt>
            </c:numLit>
          </c:xVal>
          <c:yVal>
            <c:numLit>
              <c:formatCode>General</c:formatCode>
              <c:ptCount val="2"/>
              <c:pt idx="0">
                <c:v>0</c:v>
              </c:pt>
              <c:pt idx="1">
                <c:v>5.8172661857312001E-3</c:v>
              </c:pt>
            </c:numLit>
          </c:yVal>
          <c:smooth val="0"/>
          <c:extLst>
            <c:ext xmlns:c16="http://schemas.microsoft.com/office/drawing/2014/chart" uri="{C3380CC4-5D6E-409C-BE32-E72D297353CC}">
              <c16:uniqueId val="{0000001A-A77C-4AE2-B9F8-50529FA0D411}"/>
            </c:ext>
          </c:extLst>
        </c:ser>
        <c:ser>
          <c:idx val="18"/>
          <c:order val="18"/>
          <c:tx>
            <c:v>t=7</c:v>
          </c:tx>
          <c:spPr>
            <a:ln w="3175">
              <a:solidFill>
                <a:srgbClr val="3366FF"/>
              </a:solidFill>
              <a:prstDash val="solid"/>
            </a:ln>
          </c:spPr>
          <c:marker>
            <c:symbol val="none"/>
          </c:marker>
          <c:xVal>
            <c:numLit>
              <c:formatCode>General</c:formatCode>
              <c:ptCount val="2"/>
              <c:pt idx="0">
                <c:v>7</c:v>
              </c:pt>
              <c:pt idx="1">
                <c:v>6.3197002495830636</c:v>
              </c:pt>
            </c:numLit>
          </c:xVal>
          <c:yVal>
            <c:numLit>
              <c:formatCode>General</c:formatCode>
              <c:ptCount val="2"/>
              <c:pt idx="0">
                <c:v>0</c:v>
              </c:pt>
              <c:pt idx="1">
                <c:v>6.2363910052801001E-3</c:v>
              </c:pt>
            </c:numLit>
          </c:yVal>
          <c:smooth val="0"/>
          <c:extLst>
            <c:ext xmlns:c16="http://schemas.microsoft.com/office/drawing/2014/chart" uri="{C3380CC4-5D6E-409C-BE32-E72D297353CC}">
              <c16:uniqueId val="{0000001B-A77C-4AE2-B9F8-50529FA0D411}"/>
            </c:ext>
          </c:extLst>
        </c:ser>
        <c:ser>
          <c:idx val="19"/>
          <c:order val="19"/>
          <c:tx>
            <c:v>t=8</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C-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7.283412255146529</c:v>
              </c:pt>
            </c:numLit>
          </c:xVal>
          <c:yVal>
            <c:numLit>
              <c:formatCode>General</c:formatCode>
              <c:ptCount val="2"/>
              <c:pt idx="0">
                <c:v>0</c:v>
              </c:pt>
              <c:pt idx="1">
                <c:v>6.68230692735069E-3</c:v>
              </c:pt>
            </c:numLit>
          </c:yVal>
          <c:smooth val="0"/>
          <c:extLst>
            <c:ext xmlns:c16="http://schemas.microsoft.com/office/drawing/2014/chart" uri="{C3380CC4-5D6E-409C-BE32-E72D297353CC}">
              <c16:uniqueId val="{0000001D-A77C-4AE2-B9F8-50529FA0D411}"/>
            </c:ext>
          </c:extLst>
        </c:ser>
        <c:ser>
          <c:idx val="20"/>
          <c:order val="20"/>
          <c:tx>
            <c:v>t=9</c:v>
          </c:tx>
          <c:spPr>
            <a:ln w="3175">
              <a:solidFill>
                <a:srgbClr val="3366FF"/>
              </a:solidFill>
              <a:prstDash val="solid"/>
            </a:ln>
          </c:spPr>
          <c:marker>
            <c:symbol val="none"/>
          </c:marker>
          <c:xVal>
            <c:numLit>
              <c:formatCode>General</c:formatCode>
              <c:ptCount val="2"/>
              <c:pt idx="0">
                <c:v>9</c:v>
              </c:pt>
              <c:pt idx="1">
                <c:v>8.2457910866084418</c:v>
              </c:pt>
            </c:numLit>
          </c:xVal>
          <c:yVal>
            <c:numLit>
              <c:formatCode>General</c:formatCode>
              <c:ptCount val="2"/>
              <c:pt idx="0">
                <c:v>0</c:v>
              </c:pt>
              <c:pt idx="1">
                <c:v>7.1565192121477803E-3</c:v>
              </c:pt>
            </c:numLit>
          </c:yVal>
          <c:smooth val="0"/>
          <c:extLst>
            <c:ext xmlns:c16="http://schemas.microsoft.com/office/drawing/2014/chart" uri="{C3380CC4-5D6E-409C-BE32-E72D297353CC}">
              <c16:uniqueId val="{0000001E-A77C-4AE2-B9F8-50529FA0D411}"/>
            </c:ext>
          </c:extLst>
        </c:ser>
        <c:ser>
          <c:idx val="21"/>
          <c:order val="21"/>
          <c:tx>
            <c:v>t=10</c:v>
          </c:tx>
          <c:spPr>
            <a:ln w="3175">
              <a:solidFill>
                <a:srgbClr val="3366FF"/>
              </a:solidFill>
              <a:prstDash val="solid"/>
            </a:ln>
          </c:spPr>
          <c:marker>
            <c:symbol val="none"/>
          </c:marker>
          <c:dLbls>
            <c:dLbl>
              <c:idx val="0"/>
              <c:layout>
                <c:manualLayout>
                  <c:x val="-1.5625000000000031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F-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9.2068300390283753</c:v>
              </c:pt>
            </c:numLit>
          </c:xVal>
          <c:yVal>
            <c:numLit>
              <c:formatCode>General</c:formatCode>
              <c:ptCount val="2"/>
              <c:pt idx="0">
                <c:v>0</c:v>
              </c:pt>
              <c:pt idx="1">
                <c:v>7.6606084940231802E-3</c:v>
              </c:pt>
            </c:numLit>
          </c:yVal>
          <c:smooth val="0"/>
          <c:extLst>
            <c:ext xmlns:c16="http://schemas.microsoft.com/office/drawing/2014/chart" uri="{C3380CC4-5D6E-409C-BE32-E72D297353CC}">
              <c16:uniqueId val="{00000020-A77C-4AE2-B9F8-50529FA0D411}"/>
            </c:ext>
          </c:extLst>
        </c:ser>
        <c:ser>
          <c:idx val="22"/>
          <c:order val="22"/>
          <c:tx>
            <c:v>t=11</c:v>
          </c:tx>
          <c:spPr>
            <a:ln w="3175">
              <a:solidFill>
                <a:srgbClr val="3366FF"/>
              </a:solidFill>
              <a:prstDash val="solid"/>
            </a:ln>
          </c:spPr>
          <c:marker>
            <c:symbol val="none"/>
          </c:marker>
          <c:xVal>
            <c:numLit>
              <c:formatCode>General</c:formatCode>
              <c:ptCount val="2"/>
              <c:pt idx="0">
                <c:v>11</c:v>
              </c:pt>
              <c:pt idx="1">
                <c:v>10.16650923153602</c:v>
              </c:pt>
            </c:numLit>
          </c:xVal>
          <c:yVal>
            <c:numLit>
              <c:formatCode>General</c:formatCode>
              <c:ptCount val="2"/>
              <c:pt idx="0">
                <c:v>0</c:v>
              </c:pt>
              <c:pt idx="1">
                <c:v>8.1963999323046207E-3</c:v>
              </c:pt>
            </c:numLit>
          </c:yVal>
          <c:smooth val="0"/>
          <c:extLst>
            <c:ext xmlns:c16="http://schemas.microsoft.com/office/drawing/2014/chart" uri="{C3380CC4-5D6E-409C-BE32-E72D297353CC}">
              <c16:uniqueId val="{00000021-A77C-4AE2-B9F8-50529FA0D411}"/>
            </c:ext>
          </c:extLst>
        </c:ser>
        <c:ser>
          <c:idx val="23"/>
          <c:order val="23"/>
          <c:tx>
            <c:v>t=12</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c:v>
              </c:pt>
              <c:pt idx="1">
                <c:v>11.124844702706268</c:v>
              </c:pt>
            </c:numLit>
          </c:xVal>
          <c:yVal>
            <c:numLit>
              <c:formatCode>General</c:formatCode>
              <c:ptCount val="2"/>
              <c:pt idx="0">
                <c:v>0</c:v>
              </c:pt>
              <c:pt idx="1">
                <c:v>8.7654941166616408E-3</c:v>
              </c:pt>
            </c:numLit>
          </c:yVal>
          <c:smooth val="0"/>
          <c:extLst>
            <c:ext xmlns:c16="http://schemas.microsoft.com/office/drawing/2014/chart" uri="{C3380CC4-5D6E-409C-BE32-E72D297353CC}">
              <c16:uniqueId val="{00000023-A77C-4AE2-B9F8-50529FA0D411}"/>
            </c:ext>
          </c:extLst>
        </c:ser>
        <c:ser>
          <c:idx val="24"/>
          <c:order val="24"/>
          <c:tx>
            <c:v>t=13</c:v>
          </c:tx>
          <c:spPr>
            <a:ln w="3175">
              <a:solidFill>
                <a:srgbClr val="3366FF"/>
              </a:solidFill>
              <a:prstDash val="solid"/>
            </a:ln>
          </c:spPr>
          <c:marker>
            <c:symbol val="none"/>
          </c:marker>
          <c:xVal>
            <c:numLit>
              <c:formatCode>General</c:formatCode>
              <c:ptCount val="2"/>
              <c:pt idx="0">
                <c:v>13</c:v>
              </c:pt>
              <c:pt idx="1">
                <c:v>12.08184163493789</c:v>
              </c:pt>
            </c:numLit>
          </c:xVal>
          <c:yVal>
            <c:numLit>
              <c:formatCode>General</c:formatCode>
              <c:ptCount val="2"/>
              <c:pt idx="0">
                <c:v>0</c:v>
              </c:pt>
              <c:pt idx="1">
                <c:v>9.3697232222812107E-3</c:v>
              </c:pt>
            </c:numLit>
          </c:yVal>
          <c:smooth val="0"/>
          <c:extLst>
            <c:ext xmlns:c16="http://schemas.microsoft.com/office/drawing/2014/chart" uri="{C3380CC4-5D6E-409C-BE32-E72D297353CC}">
              <c16:uniqueId val="{00000024-A77C-4AE2-B9F8-50529FA0D411}"/>
            </c:ext>
          </c:extLst>
        </c:ser>
        <c:ser>
          <c:idx val="25"/>
          <c:order val="25"/>
          <c:tx>
            <c:v>t=14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5-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c:v>
              </c:pt>
              <c:pt idx="1">
                <c:v>13.037509931437153</c:v>
              </c:pt>
            </c:numLit>
          </c:xVal>
          <c:yVal>
            <c:numLit>
              <c:formatCode>General</c:formatCode>
              <c:ptCount val="2"/>
              <c:pt idx="0">
                <c:v>0</c:v>
              </c:pt>
              <c:pt idx="1">
                <c:v>1.00110112590387E-2</c:v>
              </c:pt>
            </c:numLit>
          </c:yVal>
          <c:smooth val="0"/>
          <c:extLst>
            <c:ext xmlns:c16="http://schemas.microsoft.com/office/drawing/2014/chart" uri="{C3380CC4-5D6E-409C-BE32-E72D297353CC}">
              <c16:uniqueId val="{00000026-A77C-4AE2-B9F8-50529FA0D411}"/>
            </c:ext>
          </c:extLst>
        </c:ser>
        <c:ser>
          <c:idx val="26"/>
          <c:order val="26"/>
          <c:tx>
            <c:v>t=15</c:v>
          </c:tx>
          <c:spPr>
            <a:ln w="3175">
              <a:solidFill>
                <a:srgbClr val="3366FF"/>
              </a:solidFill>
              <a:prstDash val="solid"/>
            </a:ln>
          </c:spPr>
          <c:marker>
            <c:symbol val="none"/>
          </c:marker>
          <c:xVal>
            <c:numLit>
              <c:formatCode>General</c:formatCode>
              <c:ptCount val="2"/>
              <c:pt idx="0">
                <c:v>15</c:v>
              </c:pt>
              <c:pt idx="1">
                <c:v>13.991864616759248</c:v>
              </c:pt>
            </c:numLit>
          </c:xVal>
          <c:yVal>
            <c:numLit>
              <c:formatCode>General</c:formatCode>
              <c:ptCount val="2"/>
              <c:pt idx="0">
                <c:v>0</c:v>
              </c:pt>
              <c:pt idx="1">
                <c:v>1.06913788271157E-2</c:v>
              </c:pt>
            </c:numLit>
          </c:yVal>
          <c:smooth val="0"/>
          <c:extLst>
            <c:ext xmlns:c16="http://schemas.microsoft.com/office/drawing/2014/chart" uri="{C3380CC4-5D6E-409C-BE32-E72D297353CC}">
              <c16:uniqueId val="{00000027-A77C-4AE2-B9F8-50529FA0D411}"/>
            </c:ext>
          </c:extLst>
        </c:ser>
        <c:ser>
          <c:idx val="27"/>
          <c:order val="27"/>
          <c:tx>
            <c:v>t=16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c:v>
              </c:pt>
              <c:pt idx="1">
                <c:v>14.944926260771593</c:v>
              </c:pt>
            </c:numLit>
          </c:xVal>
          <c:yVal>
            <c:numLit>
              <c:formatCode>General</c:formatCode>
              <c:ptCount val="2"/>
              <c:pt idx="0">
                <c:v>0</c:v>
              </c:pt>
              <c:pt idx="1">
                <c:v>1.14129481899331E-2</c:v>
              </c:pt>
            </c:numLit>
          </c:yVal>
          <c:smooth val="0"/>
          <c:extLst>
            <c:ext xmlns:c16="http://schemas.microsoft.com/office/drawing/2014/chart" uri="{C3380CC4-5D6E-409C-BE32-E72D297353CC}">
              <c16:uniqueId val="{00000029-A77C-4AE2-B9F8-50529FA0D411}"/>
            </c:ext>
          </c:extLst>
        </c:ser>
        <c:ser>
          <c:idx val="28"/>
          <c:order val="28"/>
          <c:tx>
            <c:v>t=17</c:v>
          </c:tx>
          <c:spPr>
            <a:ln w="3175">
              <a:solidFill>
                <a:srgbClr val="3366FF"/>
              </a:solidFill>
              <a:prstDash val="solid"/>
            </a:ln>
          </c:spPr>
          <c:marker>
            <c:symbol val="none"/>
          </c:marker>
          <c:xVal>
            <c:numLit>
              <c:formatCode>General</c:formatCode>
              <c:ptCount val="2"/>
              <c:pt idx="0">
                <c:v>17</c:v>
              </c:pt>
              <c:pt idx="1">
                <c:v>15.896721427588924</c:v>
              </c:pt>
            </c:numLit>
          </c:xVal>
          <c:yVal>
            <c:numLit>
              <c:formatCode>General</c:formatCode>
              <c:ptCount val="2"/>
              <c:pt idx="0">
                <c:v>0</c:v>
              </c:pt>
              <c:pt idx="1">
                <c:v>1.2177948692621701E-2</c:v>
              </c:pt>
            </c:numLit>
          </c:yVal>
          <c:smooth val="0"/>
          <c:extLst>
            <c:ext xmlns:c16="http://schemas.microsoft.com/office/drawing/2014/chart" uri="{C3380CC4-5D6E-409C-BE32-E72D297353CC}">
              <c16:uniqueId val="{0000002A-A77C-4AE2-B9F8-50529FA0D411}"/>
            </c:ext>
          </c:extLst>
        </c:ser>
        <c:ser>
          <c:idx val="29"/>
          <c:order val="29"/>
          <c:tx>
            <c:v>t=18</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c:v>
              </c:pt>
              <c:pt idx="1">
                <c:v>16.847283151194862</c:v>
              </c:pt>
            </c:numLit>
          </c:xVal>
          <c:yVal>
            <c:numLit>
              <c:formatCode>General</c:formatCode>
              <c:ptCount val="2"/>
              <c:pt idx="0">
                <c:v>0</c:v>
              </c:pt>
              <c:pt idx="1">
                <c:v>1.29887225571009E-2</c:v>
              </c:pt>
            </c:numLit>
          </c:yVal>
          <c:smooth val="0"/>
          <c:extLst>
            <c:ext xmlns:c16="http://schemas.microsoft.com/office/drawing/2014/chart" uri="{C3380CC4-5D6E-409C-BE32-E72D297353CC}">
              <c16:uniqueId val="{0000002C-A77C-4AE2-B9F8-50529FA0D411}"/>
            </c:ext>
          </c:extLst>
        </c:ser>
        <c:ser>
          <c:idx val="30"/>
          <c:order val="30"/>
          <c:tx>
            <c:v>t=19</c:v>
          </c:tx>
          <c:spPr>
            <a:ln w="3175">
              <a:solidFill>
                <a:srgbClr val="3366FF"/>
              </a:solidFill>
              <a:prstDash val="solid"/>
            </a:ln>
          </c:spPr>
          <c:marker>
            <c:symbol val="none"/>
          </c:marker>
          <c:xVal>
            <c:numLit>
              <c:formatCode>General</c:formatCode>
              <c:ptCount val="2"/>
              <c:pt idx="0">
                <c:v>19</c:v>
              </c:pt>
              <c:pt idx="1">
                <c:v>17.796651439648389</c:v>
              </c:pt>
            </c:numLit>
          </c:xVal>
          <c:yVal>
            <c:numLit>
              <c:formatCode>General</c:formatCode>
              <c:ptCount val="2"/>
              <c:pt idx="0">
                <c:v>0</c:v>
              </c:pt>
              <c:pt idx="1">
                <c:v>1.38477310880087E-2</c:v>
              </c:pt>
            </c:numLit>
          </c:yVal>
          <c:smooth val="0"/>
          <c:extLst>
            <c:ext xmlns:c16="http://schemas.microsoft.com/office/drawing/2014/chart" uri="{C3380CC4-5D6E-409C-BE32-E72D297353CC}">
              <c16:uniqueId val="{0000002D-A77C-4AE2-B9F8-50529FA0D411}"/>
            </c:ext>
          </c:extLst>
        </c:ser>
        <c:ser>
          <c:idx val="31"/>
          <c:order val="31"/>
          <c:tx>
            <c:v>t=20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E-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c:v>
              </c:pt>
              <c:pt idx="1">
                <c:v>18.744873809981701</c:v>
              </c:pt>
            </c:numLit>
          </c:xVal>
          <c:yVal>
            <c:numLit>
              <c:formatCode>General</c:formatCode>
              <c:ptCount val="2"/>
              <c:pt idx="0">
                <c:v>0</c:v>
              </c:pt>
              <c:pt idx="1">
                <c:v>1.4757561327237099E-2</c:v>
              </c:pt>
            </c:numLit>
          </c:yVal>
          <c:smooth val="0"/>
          <c:extLst>
            <c:ext xmlns:c16="http://schemas.microsoft.com/office/drawing/2014/chart" uri="{C3380CC4-5D6E-409C-BE32-E72D297353CC}">
              <c16:uniqueId val="{0000002F-A77C-4AE2-B9F8-50529FA0D411}"/>
            </c:ext>
          </c:extLst>
        </c:ser>
        <c:ser>
          <c:idx val="32"/>
          <c:order val="32"/>
          <c:tx>
            <c:v>t=21</c:v>
          </c:tx>
          <c:spPr>
            <a:ln w="3175">
              <a:solidFill>
                <a:srgbClr val="3366FF"/>
              </a:solidFill>
              <a:prstDash val="solid"/>
            </a:ln>
          </c:spPr>
          <c:marker>
            <c:symbol val="none"/>
          </c:marker>
          <c:xVal>
            <c:numLit>
              <c:formatCode>General</c:formatCode>
              <c:ptCount val="2"/>
              <c:pt idx="0">
                <c:v>21</c:v>
              </c:pt>
              <c:pt idx="1">
                <c:v>19.692005856128272</c:v>
              </c:pt>
            </c:numLit>
          </c:xVal>
          <c:yVal>
            <c:numLit>
              <c:formatCode>General</c:formatCode>
              <c:ptCount val="2"/>
              <c:pt idx="0">
                <c:v>0</c:v>
              </c:pt>
              <c:pt idx="1">
                <c:v>1.5720933198744999E-2</c:v>
              </c:pt>
            </c:numLit>
          </c:yVal>
          <c:smooth val="0"/>
          <c:extLst>
            <c:ext xmlns:c16="http://schemas.microsoft.com/office/drawing/2014/chart" uri="{C3380CC4-5D6E-409C-BE32-E72D297353CC}">
              <c16:uniqueId val="{00000030-A77C-4AE2-B9F8-50529FA0D411}"/>
            </c:ext>
          </c:extLst>
        </c:ser>
        <c:ser>
          <c:idx val="33"/>
          <c:order val="33"/>
          <c:tx>
            <c:v>t=22</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1-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c:v>
              </c:pt>
              <c:pt idx="1">
                <c:v>20.638111852482123</c:v>
              </c:pt>
            </c:numLit>
          </c:xVal>
          <c:yVal>
            <c:numLit>
              <c:formatCode>General</c:formatCode>
              <c:ptCount val="2"/>
              <c:pt idx="0">
                <c:v>0</c:v>
              </c:pt>
              <c:pt idx="1">
                <c:v>1.6740707189674801E-2</c:v>
              </c:pt>
            </c:numLit>
          </c:yVal>
          <c:smooth val="0"/>
          <c:extLst>
            <c:ext xmlns:c16="http://schemas.microsoft.com/office/drawing/2014/chart" uri="{C3380CC4-5D6E-409C-BE32-E72D297353CC}">
              <c16:uniqueId val="{00000032-A77C-4AE2-B9F8-50529FA0D411}"/>
            </c:ext>
          </c:extLst>
        </c:ser>
        <c:ser>
          <c:idx val="34"/>
          <c:order val="34"/>
          <c:tx>
            <c:v>t=23</c:v>
          </c:tx>
          <c:spPr>
            <a:ln w="3175">
              <a:solidFill>
                <a:srgbClr val="3366FF"/>
              </a:solidFill>
              <a:prstDash val="solid"/>
            </a:ln>
          </c:spPr>
          <c:marker>
            <c:symbol val="none"/>
          </c:marker>
          <c:xVal>
            <c:numLit>
              <c:formatCode>General</c:formatCode>
              <c:ptCount val="2"/>
              <c:pt idx="0">
                <c:v>23</c:v>
              </c:pt>
              <c:pt idx="1">
                <c:v>21.583265395983361</c:v>
              </c:pt>
            </c:numLit>
          </c:xVal>
          <c:yVal>
            <c:numLit>
              <c:formatCode>General</c:formatCode>
              <c:ptCount val="2"/>
              <c:pt idx="0">
                <c:v>0</c:v>
              </c:pt>
              <c:pt idx="1">
                <c:v>1.7819892618663902E-2</c:v>
              </c:pt>
            </c:numLit>
          </c:yVal>
          <c:smooth val="0"/>
          <c:extLst>
            <c:ext xmlns:c16="http://schemas.microsoft.com/office/drawing/2014/chart" uri="{C3380CC4-5D6E-409C-BE32-E72D297353CC}">
              <c16:uniqueId val="{00000033-A77C-4AE2-B9F8-50529FA0D411}"/>
            </c:ext>
          </c:extLst>
        </c:ser>
        <c:ser>
          <c:idx val="35"/>
          <c:order val="35"/>
          <c:tx>
            <c:v>t=24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4-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c:v>
              </c:pt>
              <c:pt idx="1">
                <c:v>22.527550089956229</c:v>
              </c:pt>
            </c:numLit>
          </c:xVal>
          <c:yVal>
            <c:numLit>
              <c:formatCode>General</c:formatCode>
              <c:ptCount val="2"/>
              <c:pt idx="0">
                <c:v>0</c:v>
              </c:pt>
              <c:pt idx="1">
                <c:v>1.8961656547670701E-2</c:v>
              </c:pt>
            </c:numLit>
          </c:yVal>
          <c:smooth val="0"/>
          <c:extLst>
            <c:ext xmlns:c16="http://schemas.microsoft.com/office/drawing/2014/chart" uri="{C3380CC4-5D6E-409C-BE32-E72D297353CC}">
              <c16:uniqueId val="{00000035-A77C-4AE2-B9F8-50529FA0D411}"/>
            </c:ext>
          </c:extLst>
        </c:ser>
        <c:ser>
          <c:idx val="36"/>
          <c:order val="36"/>
          <c:tx>
            <c:v>t=25</c:v>
          </c:tx>
          <c:spPr>
            <a:ln w="3175">
              <a:solidFill>
                <a:srgbClr val="3366FF"/>
              </a:solidFill>
              <a:prstDash val="solid"/>
            </a:ln>
          </c:spPr>
          <c:marker>
            <c:symbol val="none"/>
          </c:marker>
          <c:xVal>
            <c:numLit>
              <c:formatCode>General</c:formatCode>
              <c:ptCount val="2"/>
              <c:pt idx="0">
                <c:v>25</c:v>
              </c:pt>
              <c:pt idx="1">
                <c:v>23.471060273298296</c:v>
              </c:pt>
            </c:numLit>
          </c:xVal>
          <c:yVal>
            <c:numLit>
              <c:formatCode>General</c:formatCode>
              <c:ptCount val="2"/>
              <c:pt idx="0">
                <c:v>0</c:v>
              </c:pt>
              <c:pt idx="1">
                <c:v>2.0169333399710401E-2</c:v>
              </c:pt>
            </c:numLit>
          </c:yVal>
          <c:smooth val="0"/>
          <c:extLst>
            <c:ext xmlns:c16="http://schemas.microsoft.com/office/drawing/2014/chart" uri="{C3380CC4-5D6E-409C-BE32-E72D297353CC}">
              <c16:uniqueId val="{00000036-A77C-4AE2-B9F8-50529FA0D411}"/>
            </c:ext>
          </c:extLst>
        </c:ser>
        <c:ser>
          <c:idx val="37"/>
          <c:order val="37"/>
          <c:tx>
            <c:v>t=26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7-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c:v>
              </c:pt>
              <c:pt idx="1">
                <c:v>24.413869121150917</c:v>
              </c:pt>
            </c:numLit>
          </c:xVal>
          <c:yVal>
            <c:numLit>
              <c:formatCode>General</c:formatCode>
              <c:ptCount val="2"/>
              <c:pt idx="0">
                <c:v>0</c:v>
              </c:pt>
              <c:pt idx="1">
                <c:v>2.14468772059432E-2</c:v>
              </c:pt>
            </c:numLit>
          </c:yVal>
          <c:smooth val="0"/>
          <c:extLst>
            <c:ext xmlns:c16="http://schemas.microsoft.com/office/drawing/2014/chart" uri="{C3380CC4-5D6E-409C-BE32-E72D297353CC}">
              <c16:uniqueId val="{00000038-A77C-4AE2-B9F8-50529FA0D411}"/>
            </c:ext>
          </c:extLst>
        </c:ser>
        <c:ser>
          <c:idx val="38"/>
          <c:order val="38"/>
          <c:tx>
            <c:v>t=27</c:v>
          </c:tx>
          <c:spPr>
            <a:ln w="3175">
              <a:solidFill>
                <a:srgbClr val="3366FF"/>
              </a:solidFill>
              <a:prstDash val="solid"/>
            </a:ln>
          </c:spPr>
          <c:marker>
            <c:symbol val="none"/>
          </c:marker>
          <c:xVal>
            <c:numLit>
              <c:formatCode>General</c:formatCode>
              <c:ptCount val="2"/>
              <c:pt idx="0">
                <c:v>27</c:v>
              </c:pt>
              <c:pt idx="1">
                <c:v>25.356124992223805</c:v>
              </c:pt>
            </c:numLit>
          </c:xVal>
          <c:yVal>
            <c:numLit>
              <c:formatCode>General</c:formatCode>
              <c:ptCount val="2"/>
              <c:pt idx="0">
                <c:v>0</c:v>
              </c:pt>
              <c:pt idx="1">
                <c:v>2.2797604877624101E-2</c:v>
              </c:pt>
            </c:numLit>
          </c:yVal>
          <c:smooth val="0"/>
          <c:extLst>
            <c:ext xmlns:c16="http://schemas.microsoft.com/office/drawing/2014/chart" uri="{C3380CC4-5D6E-409C-BE32-E72D297353CC}">
              <c16:uniqueId val="{00000039-A77C-4AE2-B9F8-50529FA0D411}"/>
            </c:ext>
          </c:extLst>
        </c:ser>
        <c:ser>
          <c:idx val="39"/>
          <c:order val="39"/>
          <c:tx>
            <c:v>t=28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A-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c:v>
              </c:pt>
              <c:pt idx="1">
                <c:v>26.297959270515559</c:v>
              </c:pt>
            </c:numLit>
          </c:xVal>
          <c:yVal>
            <c:numLit>
              <c:formatCode>General</c:formatCode>
              <c:ptCount val="2"/>
              <c:pt idx="0">
                <c:v>0</c:v>
              </c:pt>
              <c:pt idx="1">
                <c:v>2.42254240784005E-2</c:v>
              </c:pt>
            </c:numLit>
          </c:yVal>
          <c:smooth val="0"/>
          <c:extLst>
            <c:ext xmlns:c16="http://schemas.microsoft.com/office/drawing/2014/chart" uri="{C3380CC4-5D6E-409C-BE32-E72D297353CC}">
              <c16:uniqueId val="{0000003B-A77C-4AE2-B9F8-50529FA0D411}"/>
            </c:ext>
          </c:extLst>
        </c:ser>
        <c:ser>
          <c:idx val="40"/>
          <c:order val="40"/>
          <c:tx>
            <c:v>t=29</c:v>
          </c:tx>
          <c:spPr>
            <a:ln w="3175">
              <a:solidFill>
                <a:srgbClr val="3366FF"/>
              </a:solidFill>
              <a:prstDash val="solid"/>
            </a:ln>
          </c:spPr>
          <c:marker>
            <c:symbol val="none"/>
          </c:marker>
          <c:xVal>
            <c:numLit>
              <c:formatCode>General</c:formatCode>
              <c:ptCount val="2"/>
              <c:pt idx="0">
                <c:v>29</c:v>
              </c:pt>
              <c:pt idx="1">
                <c:v>27.239517542895342</c:v>
              </c:pt>
            </c:numLit>
          </c:xVal>
          <c:yVal>
            <c:numLit>
              <c:formatCode>General</c:formatCode>
              <c:ptCount val="2"/>
              <c:pt idx="0">
                <c:v>0</c:v>
              </c:pt>
              <c:pt idx="1">
                <c:v>2.5734457306702801E-2</c:v>
              </c:pt>
            </c:numLit>
          </c:yVal>
          <c:smooth val="0"/>
          <c:extLst>
            <c:ext xmlns:c16="http://schemas.microsoft.com/office/drawing/2014/chart" uri="{C3380CC4-5D6E-409C-BE32-E72D297353CC}">
              <c16:uniqueId val="{0000003C-A77C-4AE2-B9F8-50529FA0D411}"/>
            </c:ext>
          </c:extLst>
        </c:ser>
        <c:ser>
          <c:idx val="41"/>
          <c:order val="41"/>
          <c:tx>
            <c:v>t=30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D-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c:v>
              </c:pt>
              <c:pt idx="1">
                <c:v>28.180960627210379</c:v>
              </c:pt>
            </c:numLit>
          </c:xVal>
          <c:yVal>
            <c:numLit>
              <c:formatCode>General</c:formatCode>
              <c:ptCount val="2"/>
              <c:pt idx="0">
                <c:v>0</c:v>
              </c:pt>
              <c:pt idx="1">
                <c:v>2.73290562877294E-2</c:v>
              </c:pt>
            </c:numLit>
          </c:yVal>
          <c:smooth val="0"/>
          <c:extLst>
            <c:ext xmlns:c16="http://schemas.microsoft.com/office/drawing/2014/chart" uri="{C3380CC4-5D6E-409C-BE32-E72D297353CC}">
              <c16:uniqueId val="{0000003E-A77C-4AE2-B9F8-50529FA0D411}"/>
            </c:ext>
          </c:extLst>
        </c:ser>
        <c:ser>
          <c:idx val="42"/>
          <c:order val="42"/>
          <c:tx>
            <c:v>t=31</c:v>
          </c:tx>
          <c:spPr>
            <a:ln w="3175">
              <a:solidFill>
                <a:srgbClr val="3366FF"/>
              </a:solidFill>
              <a:prstDash val="solid"/>
            </a:ln>
          </c:spPr>
          <c:marker>
            <c:symbol val="none"/>
          </c:marker>
          <c:xVal>
            <c:numLit>
              <c:formatCode>General</c:formatCode>
              <c:ptCount val="2"/>
              <c:pt idx="0">
                <c:v>31</c:v>
              </c:pt>
              <c:pt idx="1">
                <c:v>29.122465678454692</c:v>
              </c:pt>
            </c:numLit>
          </c:xVal>
          <c:yVal>
            <c:numLit>
              <c:formatCode>General</c:formatCode>
              <c:ptCount val="2"/>
              <c:pt idx="0">
                <c:v>0</c:v>
              </c:pt>
              <c:pt idx="1">
                <c:v>2.9013817626337601E-2</c:v>
              </c:pt>
            </c:numLit>
          </c:yVal>
          <c:smooth val="0"/>
          <c:extLst>
            <c:ext xmlns:c16="http://schemas.microsoft.com/office/drawing/2014/chart" uri="{C3380CC4-5D6E-409C-BE32-E72D297353CC}">
              <c16:uniqueId val="{0000003F-A77C-4AE2-B9F8-50529FA0D411}"/>
            </c:ext>
          </c:extLst>
        </c:ser>
        <c:ser>
          <c:idx val="43"/>
          <c:order val="43"/>
          <c:tx>
            <c:v>t=32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0-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c:v>
              </c:pt>
              <c:pt idx="1">
                <c:v>30.064227380971289</c:v>
              </c:pt>
            </c:numLit>
          </c:xVal>
          <c:yVal>
            <c:numLit>
              <c:formatCode>General</c:formatCode>
              <c:ptCount val="2"/>
              <c:pt idx="0">
                <c:v>0</c:v>
              </c:pt>
              <c:pt idx="1">
                <c:v>3.0793599853619201E-2</c:v>
              </c:pt>
            </c:numLit>
          </c:yVal>
          <c:smooth val="0"/>
          <c:extLst>
            <c:ext xmlns:c16="http://schemas.microsoft.com/office/drawing/2014/chart" uri="{C3380CC4-5D6E-409C-BE32-E72D297353CC}">
              <c16:uniqueId val="{00000041-A77C-4AE2-B9F8-50529FA0D411}"/>
            </c:ext>
          </c:extLst>
        </c:ser>
        <c:ser>
          <c:idx val="44"/>
          <c:order val="44"/>
          <c:tx>
            <c:v>t=33</c:v>
          </c:tx>
          <c:spPr>
            <a:ln w="3175">
              <a:solidFill>
                <a:srgbClr val="3366FF"/>
              </a:solidFill>
              <a:prstDash val="solid"/>
            </a:ln>
          </c:spPr>
          <c:marker>
            <c:symbol val="none"/>
          </c:marker>
          <c:xVal>
            <c:numLit>
              <c:formatCode>General</c:formatCode>
              <c:ptCount val="2"/>
              <c:pt idx="0">
                <c:v>33</c:v>
              </c:pt>
              <c:pt idx="1">
                <c:v>31.00645923565494</c:v>
              </c:pt>
            </c:numLit>
          </c:xVal>
          <c:yVal>
            <c:numLit>
              <c:formatCode>General</c:formatCode>
              <c:ptCount val="2"/>
              <c:pt idx="0">
                <c:v>0</c:v>
              </c:pt>
              <c:pt idx="1">
                <c:v>3.2673542015821698E-2</c:v>
              </c:pt>
            </c:numLit>
          </c:yVal>
          <c:smooth val="0"/>
          <c:extLst>
            <c:ext xmlns:c16="http://schemas.microsoft.com/office/drawing/2014/chart" uri="{C3380CC4-5D6E-409C-BE32-E72D297353CC}">
              <c16:uniqueId val="{00000042-A77C-4AE2-B9F8-50529FA0D411}"/>
            </c:ext>
          </c:extLst>
        </c:ser>
        <c:ser>
          <c:idx val="45"/>
          <c:order val="45"/>
          <c:tx>
            <c:v>t=34</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3-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c:v>
              </c:pt>
              <c:pt idx="1">
                <c:v>31.988389662027835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4-A77C-4AE2-B9F8-50529FA0D411}"/>
            </c:ext>
          </c:extLst>
        </c:ser>
        <c:ser>
          <c:idx val="46"/>
          <c:order val="46"/>
          <c:tx>
            <c:v>t=35</c:v>
          </c:tx>
          <c:spPr>
            <a:ln w="3175">
              <a:solidFill>
                <a:srgbClr val="3366FF"/>
              </a:solidFill>
              <a:prstDash val="solid"/>
            </a:ln>
          </c:spPr>
          <c:marker>
            <c:symbol val="none"/>
          </c:marker>
          <c:xVal>
            <c:numLit>
              <c:formatCode>General</c:formatCode>
              <c:ptCount val="2"/>
              <c:pt idx="0">
                <c:v>35</c:v>
              </c:pt>
              <c:pt idx="1">
                <c:v>33.051252485089464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5-A77C-4AE2-B9F8-50529FA0D411}"/>
            </c:ext>
          </c:extLst>
        </c:ser>
        <c:ser>
          <c:idx val="47"/>
          <c:order val="47"/>
          <c:tx>
            <c:v>t=36</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6-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c:v>
              </c:pt>
              <c:pt idx="1">
                <c:v>34.114115308151099</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7-A77C-4AE2-B9F8-50529FA0D411}"/>
            </c:ext>
          </c:extLst>
        </c:ser>
        <c:ser>
          <c:idx val="48"/>
          <c:order val="48"/>
          <c:tx>
            <c:v>t=37</c:v>
          </c:tx>
          <c:spPr>
            <a:ln w="3175">
              <a:solidFill>
                <a:srgbClr val="3366FF"/>
              </a:solidFill>
              <a:prstDash val="solid"/>
            </a:ln>
          </c:spPr>
          <c:marker>
            <c:symbol val="none"/>
          </c:marker>
          <c:xVal>
            <c:numLit>
              <c:formatCode>General</c:formatCode>
              <c:ptCount val="2"/>
              <c:pt idx="0">
                <c:v>37</c:v>
              </c:pt>
              <c:pt idx="1">
                <c:v>35.176978131212728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8-A77C-4AE2-B9F8-50529FA0D411}"/>
            </c:ext>
          </c:extLst>
        </c:ser>
        <c:ser>
          <c:idx val="49"/>
          <c:order val="49"/>
          <c:tx>
            <c:v>t=38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9-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c:v>
              </c:pt>
              <c:pt idx="1">
                <c:v>36.239840954274356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A-A77C-4AE2-B9F8-50529FA0D411}"/>
            </c:ext>
          </c:extLst>
        </c:ser>
        <c:ser>
          <c:idx val="50"/>
          <c:order val="50"/>
          <c:tx>
            <c:v>t=39</c:v>
          </c:tx>
          <c:spPr>
            <a:ln w="3175">
              <a:solidFill>
                <a:srgbClr val="3366FF"/>
              </a:solidFill>
              <a:prstDash val="solid"/>
            </a:ln>
          </c:spPr>
          <c:marker>
            <c:symbol val="none"/>
          </c:marker>
          <c:xVal>
            <c:numLit>
              <c:formatCode>General</c:formatCode>
              <c:ptCount val="2"/>
              <c:pt idx="0">
                <c:v>39</c:v>
              </c:pt>
              <c:pt idx="1">
                <c:v>37.302703777335992</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B-A77C-4AE2-B9F8-50529FA0D411}"/>
            </c:ext>
          </c:extLst>
        </c:ser>
        <c:ser>
          <c:idx val="51"/>
          <c:order val="51"/>
          <c:tx>
            <c:v>t=40</c:v>
          </c:tx>
          <c:spPr>
            <a:ln w="3175">
              <a:solidFill>
                <a:srgbClr val="3366FF"/>
              </a:solidFill>
              <a:prstDash val="solid"/>
            </a:ln>
          </c:spPr>
          <c:marker>
            <c:symbol val="none"/>
          </c:marker>
          <c:dLbls>
            <c:dLbl>
              <c:idx val="0"/>
              <c:layout>
                <c:manualLayout>
                  <c:x val="-1.5625000000000128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C-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40</c:v>
              </c:pt>
              <c:pt idx="1">
                <c:v>38.365566600397621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D-A77C-4AE2-B9F8-50529FA0D411}"/>
            </c:ext>
          </c:extLst>
        </c:ser>
        <c:ser>
          <c:idx val="52"/>
          <c:order val="52"/>
          <c:tx>
            <c:v>t=41</c:v>
          </c:tx>
          <c:spPr>
            <a:ln w="3175">
              <a:solidFill>
                <a:srgbClr val="3366FF"/>
              </a:solidFill>
              <a:prstDash val="solid"/>
            </a:ln>
          </c:spPr>
          <c:marker>
            <c:symbol val="none"/>
          </c:marker>
          <c:xVal>
            <c:numLit>
              <c:formatCode>General</c:formatCode>
              <c:ptCount val="2"/>
              <c:pt idx="0">
                <c:v>41</c:v>
              </c:pt>
              <c:pt idx="1">
                <c:v>39.428429423459242</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E-A77C-4AE2-B9F8-50529FA0D411}"/>
            </c:ext>
          </c:extLst>
        </c:ser>
        <c:ser>
          <c:idx val="53"/>
          <c:order val="53"/>
          <c:tx>
            <c:v>t=42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F-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c:v>
              </c:pt>
              <c:pt idx="1">
                <c:v>40.491292246520871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0-A77C-4AE2-B9F8-50529FA0D411}"/>
            </c:ext>
          </c:extLst>
        </c:ser>
        <c:ser>
          <c:idx val="54"/>
          <c:order val="54"/>
          <c:tx>
            <c:v>t=43</c:v>
          </c:tx>
          <c:spPr>
            <a:ln w="3175">
              <a:solidFill>
                <a:srgbClr val="3366FF"/>
              </a:solidFill>
              <a:prstDash val="solid"/>
            </a:ln>
          </c:spPr>
          <c:marker>
            <c:symbol val="none"/>
          </c:marker>
          <c:xVal>
            <c:numLit>
              <c:formatCode>General</c:formatCode>
              <c:ptCount val="2"/>
              <c:pt idx="0">
                <c:v>43</c:v>
              </c:pt>
              <c:pt idx="1">
                <c:v>41.554155069582507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1-A77C-4AE2-B9F8-50529FA0D411}"/>
            </c:ext>
          </c:extLst>
        </c:ser>
        <c:ser>
          <c:idx val="55"/>
          <c:order val="55"/>
          <c:tx>
            <c:v>t=44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2-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44</c:v>
              </c:pt>
              <c:pt idx="1">
                <c:v>42.617017892644135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3-A77C-4AE2-B9F8-50529FA0D411}"/>
            </c:ext>
          </c:extLst>
        </c:ser>
        <c:ser>
          <c:idx val="56"/>
          <c:order val="56"/>
          <c:tx>
            <c:v>t=45</c:v>
          </c:tx>
          <c:spPr>
            <a:ln w="3175">
              <a:solidFill>
                <a:srgbClr val="3366FF"/>
              </a:solidFill>
              <a:prstDash val="solid"/>
            </a:ln>
          </c:spPr>
          <c:marker>
            <c:symbol val="none"/>
          </c:marker>
          <c:xVal>
            <c:numLit>
              <c:formatCode>General</c:formatCode>
              <c:ptCount val="2"/>
              <c:pt idx="0">
                <c:v>45</c:v>
              </c:pt>
              <c:pt idx="1">
                <c:v>43.679880715705764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4-A77C-4AE2-B9F8-50529FA0D411}"/>
            </c:ext>
          </c:extLst>
        </c:ser>
        <c:ser>
          <c:idx val="57"/>
          <c:order val="57"/>
          <c:tx>
            <c:v>t=46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5-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c:v>
              </c:pt>
              <c:pt idx="1">
                <c:v>44.7427435387674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6-A77C-4AE2-B9F8-50529FA0D411}"/>
            </c:ext>
          </c:extLst>
        </c:ser>
        <c:ser>
          <c:idx val="58"/>
          <c:order val="58"/>
          <c:tx>
            <c:v>t=47</c:v>
          </c:tx>
          <c:spPr>
            <a:ln w="3175">
              <a:solidFill>
                <a:srgbClr val="3366FF"/>
              </a:solidFill>
              <a:prstDash val="solid"/>
            </a:ln>
          </c:spPr>
          <c:marker>
            <c:symbol val="none"/>
          </c:marker>
          <c:xVal>
            <c:numLit>
              <c:formatCode>General</c:formatCode>
              <c:ptCount val="2"/>
              <c:pt idx="0">
                <c:v>47</c:v>
              </c:pt>
              <c:pt idx="1">
                <c:v>45.805606361829028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7-A77C-4AE2-B9F8-50529FA0D411}"/>
            </c:ext>
          </c:extLst>
        </c:ser>
        <c:ser>
          <c:idx val="59"/>
          <c:order val="59"/>
          <c:tx>
            <c:v>t=48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8-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c:v>
              </c:pt>
              <c:pt idx="1">
                <c:v>46.868469184890657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9-A77C-4AE2-B9F8-50529FA0D411}"/>
            </c:ext>
          </c:extLst>
        </c:ser>
        <c:ser>
          <c:idx val="60"/>
          <c:order val="60"/>
          <c:tx>
            <c:v>t=49</c:v>
          </c:tx>
          <c:spPr>
            <a:ln w="3175">
              <a:solidFill>
                <a:srgbClr val="3366FF"/>
              </a:solidFill>
              <a:prstDash val="solid"/>
            </a:ln>
          </c:spPr>
          <c:marker>
            <c:symbol val="none"/>
          </c:marker>
          <c:xVal>
            <c:numLit>
              <c:formatCode>General</c:formatCode>
              <c:ptCount val="2"/>
              <c:pt idx="0">
                <c:v>49</c:v>
              </c:pt>
              <c:pt idx="1">
                <c:v>47.931332007952292</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A-A77C-4AE2-B9F8-50529FA0D411}"/>
            </c:ext>
          </c:extLst>
        </c:ser>
        <c:ser>
          <c:idx val="61"/>
          <c:order val="61"/>
          <c:tx>
            <c:v>t=50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B-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50</c:v>
              </c:pt>
              <c:pt idx="1">
                <c:v>48.994194831013921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C-A77C-4AE2-B9F8-50529FA0D411}"/>
            </c:ext>
          </c:extLst>
        </c:ser>
        <c:ser>
          <c:idx val="62"/>
          <c:order val="62"/>
          <c:tx>
            <c:v>t=51</c:v>
          </c:tx>
          <c:spPr>
            <a:ln w="3175">
              <a:solidFill>
                <a:srgbClr val="3366FF"/>
              </a:solidFill>
              <a:prstDash val="solid"/>
            </a:ln>
          </c:spPr>
          <c:marker>
            <c:symbol val="none"/>
          </c:marker>
          <c:xVal>
            <c:numLit>
              <c:formatCode>General</c:formatCode>
              <c:ptCount val="2"/>
              <c:pt idx="0">
                <c:v>51</c:v>
              </c:pt>
              <c:pt idx="1">
                <c:v>50.05705765407555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D-A77C-4AE2-B9F8-50529FA0D411}"/>
            </c:ext>
          </c:extLst>
        </c:ser>
        <c:ser>
          <c:idx val="63"/>
          <c:order val="63"/>
          <c:tx>
            <c:v>t=52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E-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52</c:v>
              </c:pt>
              <c:pt idx="1">
                <c:v>51.119920477137178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F-A77C-4AE2-B9F8-50529FA0D411}"/>
            </c:ext>
          </c:extLst>
        </c:ser>
        <c:ser>
          <c:idx val="64"/>
          <c:order val="64"/>
          <c:tx>
            <c:v>t=53</c:v>
          </c:tx>
          <c:spPr>
            <a:ln w="3175">
              <a:solidFill>
                <a:srgbClr val="3366FF"/>
              </a:solidFill>
              <a:prstDash val="solid"/>
            </a:ln>
          </c:spPr>
          <c:marker>
            <c:symbol val="none"/>
          </c:marker>
          <c:xVal>
            <c:numLit>
              <c:formatCode>General</c:formatCode>
              <c:ptCount val="2"/>
              <c:pt idx="0">
                <c:v>53</c:v>
              </c:pt>
              <c:pt idx="1">
                <c:v>52.182783300198807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0-A77C-4AE2-B9F8-50529FA0D411}"/>
            </c:ext>
          </c:extLst>
        </c:ser>
        <c:ser>
          <c:idx val="65"/>
          <c:order val="65"/>
          <c:tx>
            <c:v>t=54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1-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54</c:v>
              </c:pt>
              <c:pt idx="1">
                <c:v>53.245646123260435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2-A77C-4AE2-B9F8-50529FA0D411}"/>
            </c:ext>
          </c:extLst>
        </c:ser>
        <c:ser>
          <c:idx val="66"/>
          <c:order val="66"/>
          <c:tx>
            <c:v>t=55</c:v>
          </c:tx>
          <c:spPr>
            <a:ln w="3175">
              <a:solidFill>
                <a:srgbClr val="3366FF"/>
              </a:solidFill>
              <a:prstDash val="solid"/>
            </a:ln>
          </c:spPr>
          <c:marker>
            <c:symbol val="none"/>
          </c:marker>
          <c:xVal>
            <c:numLit>
              <c:formatCode>General</c:formatCode>
              <c:ptCount val="2"/>
              <c:pt idx="0">
                <c:v>55</c:v>
              </c:pt>
              <c:pt idx="1">
                <c:v>54.308508946322071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3-A77C-4AE2-B9F8-50529FA0D411}"/>
            </c:ext>
          </c:extLst>
        </c:ser>
        <c:ser>
          <c:idx val="67"/>
          <c:order val="67"/>
          <c:tx>
            <c:v>t=56</c:v>
          </c:tx>
          <c:spPr>
            <a:ln w="3175">
              <a:solidFill>
                <a:srgbClr val="3366FF"/>
              </a:solidFill>
              <a:prstDash val="solid"/>
            </a:ln>
          </c:spPr>
          <c:marker>
            <c:symbol val="none"/>
          </c:marker>
          <c:dLbls>
            <c:dLbl>
              <c:idx val="0"/>
              <c:layout>
                <c:manualLayout>
                  <c:x val="-1.5625000000000128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4-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56</c:v>
              </c:pt>
              <c:pt idx="1">
                <c:v>55.3713717693837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5-A77C-4AE2-B9F8-50529FA0D411}"/>
            </c:ext>
          </c:extLst>
        </c:ser>
        <c:ser>
          <c:idx val="68"/>
          <c:order val="68"/>
          <c:tx>
            <c:v>t=57</c:v>
          </c:tx>
          <c:spPr>
            <a:ln w="3175">
              <a:solidFill>
                <a:srgbClr val="3366FF"/>
              </a:solidFill>
              <a:prstDash val="solid"/>
            </a:ln>
          </c:spPr>
          <c:marker>
            <c:symbol val="none"/>
          </c:marker>
          <c:xVal>
            <c:numLit>
              <c:formatCode>General</c:formatCode>
              <c:ptCount val="2"/>
              <c:pt idx="0">
                <c:v>57</c:v>
              </c:pt>
              <c:pt idx="1">
                <c:v>56.434234592445328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6-A77C-4AE2-B9F8-50529FA0D411}"/>
            </c:ext>
          </c:extLst>
        </c:ser>
        <c:ser>
          <c:idx val="69"/>
          <c:order val="69"/>
          <c:tx>
            <c:v>t=58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7-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58</c:v>
              </c:pt>
              <c:pt idx="1">
                <c:v>57.497097415506964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8-A77C-4AE2-B9F8-50529FA0D411}"/>
            </c:ext>
          </c:extLst>
        </c:ser>
        <c:ser>
          <c:idx val="70"/>
          <c:order val="70"/>
          <c:tx>
            <c:v>t=59</c:v>
          </c:tx>
          <c:spPr>
            <a:ln w="3175">
              <a:solidFill>
                <a:srgbClr val="3366FF"/>
              </a:solidFill>
              <a:prstDash val="solid"/>
            </a:ln>
          </c:spPr>
          <c:marker>
            <c:symbol val="none"/>
          </c:marker>
          <c:xVal>
            <c:numLit>
              <c:formatCode>General</c:formatCode>
              <c:ptCount val="2"/>
              <c:pt idx="0">
                <c:v>59</c:v>
              </c:pt>
              <c:pt idx="1">
                <c:v>58.559960238568593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9-A77C-4AE2-B9F8-50529FA0D411}"/>
            </c:ext>
          </c:extLst>
        </c:ser>
        <c:ser>
          <c:idx val="71"/>
          <c:order val="71"/>
          <c:tx>
            <c:v>t=60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A-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60</c:v>
              </c:pt>
              <c:pt idx="1">
                <c:v>59.622823061630214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B-A77C-4AE2-B9F8-50529FA0D411}"/>
            </c:ext>
          </c:extLst>
        </c:ser>
        <c:ser>
          <c:idx val="72"/>
          <c:order val="72"/>
          <c:tx>
            <c:v>t=61</c:v>
          </c:tx>
          <c:spPr>
            <a:ln w="3175">
              <a:solidFill>
                <a:srgbClr val="3366FF"/>
              </a:solidFill>
              <a:prstDash val="solid"/>
            </a:ln>
          </c:spPr>
          <c:marker>
            <c:symbol val="none"/>
          </c:marker>
          <c:xVal>
            <c:numLit>
              <c:formatCode>General</c:formatCode>
              <c:ptCount val="2"/>
              <c:pt idx="0">
                <c:v>61</c:v>
              </c:pt>
              <c:pt idx="1">
                <c:v>60.68568588469185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C-A77C-4AE2-B9F8-50529FA0D411}"/>
            </c:ext>
          </c:extLst>
        </c:ser>
        <c:ser>
          <c:idx val="73"/>
          <c:order val="73"/>
          <c:tx>
            <c:v>t=62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D-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62</c:v>
              </c:pt>
              <c:pt idx="1">
                <c:v>61.748548707753478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E-A77C-4AE2-B9F8-50529FA0D411}"/>
            </c:ext>
          </c:extLst>
        </c:ser>
        <c:ser>
          <c:idx val="74"/>
          <c:order val="74"/>
          <c:tx>
            <c:v>t=63</c:v>
          </c:tx>
          <c:spPr>
            <a:ln w="3175">
              <a:solidFill>
                <a:srgbClr val="3366FF"/>
              </a:solidFill>
              <a:prstDash val="solid"/>
            </a:ln>
          </c:spPr>
          <c:marker>
            <c:symbol val="none"/>
          </c:marker>
          <c:xVal>
            <c:numLit>
              <c:formatCode>General</c:formatCode>
              <c:ptCount val="2"/>
              <c:pt idx="0">
                <c:v>63</c:v>
              </c:pt>
              <c:pt idx="1">
                <c:v>62.811411530815114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6F-A77C-4AE2-B9F8-50529FA0D411}"/>
            </c:ext>
          </c:extLst>
        </c:ser>
        <c:ser>
          <c:idx val="75"/>
          <c:order val="75"/>
          <c:tx>
            <c:v>t=64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0-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64</c:v>
              </c:pt>
              <c:pt idx="1">
                <c:v>63.874274353876736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71-A77C-4AE2-B9F8-50529FA0D411}"/>
            </c:ext>
          </c:extLst>
        </c:ser>
        <c:ser>
          <c:idx val="76"/>
          <c:order val="76"/>
          <c:tx>
            <c:v>t=65</c:v>
          </c:tx>
          <c:spPr>
            <a:ln w="3175">
              <a:solidFill>
                <a:srgbClr val="3366FF"/>
              </a:solidFill>
              <a:prstDash val="solid"/>
            </a:ln>
          </c:spPr>
          <c:marker>
            <c:symbol val="none"/>
          </c:marker>
          <c:xVal>
            <c:numLit>
              <c:formatCode>General</c:formatCode>
              <c:ptCount val="2"/>
              <c:pt idx="0">
                <c:v>65</c:v>
              </c:pt>
              <c:pt idx="1">
                <c:v>64.937137176938379</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72-A77C-4AE2-B9F8-50529FA0D411}"/>
            </c:ext>
          </c:extLst>
        </c:ser>
        <c:ser>
          <c:idx val="77"/>
          <c:order val="77"/>
          <c:tx>
            <c:v>t=66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3-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66</c:v>
              </c:pt>
              <c:pt idx="1">
                <c:v>66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74-A77C-4AE2-B9F8-50529FA0D411}"/>
            </c:ext>
          </c:extLst>
        </c:ser>
        <c:ser>
          <c:idx val="78"/>
          <c:order val="78"/>
          <c:tx>
            <c:v/>
          </c:tx>
          <c:spPr>
            <a:ln w="3175">
              <a:solidFill>
                <a:srgbClr val="000000"/>
              </a:solidFill>
              <a:prstDash val="solid"/>
            </a:ln>
          </c:spPr>
          <c:marker>
            <c:symbol val="none"/>
          </c:marker>
          <c:xVal>
            <c:numLit>
              <c:formatCode>General</c:formatCode>
              <c:ptCount val="2"/>
              <c:pt idx="0">
                <c:v>-10.226000000000001</c:v>
              </c:pt>
              <c:pt idx="1">
                <c:v>-10.226000000000001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75-A77C-4AE2-B9F8-50529FA0D411}"/>
            </c:ext>
          </c:extLst>
        </c:ser>
        <c:ser>
          <c:idx val="79"/>
          <c:order val="79"/>
          <c:tx>
            <c:v/>
          </c:tx>
          <c:spPr>
            <a:ln w="3175">
              <a:solidFill>
                <a:srgbClr val="000000"/>
              </a:solidFill>
              <a:prstDash val="solid"/>
            </a:ln>
          </c:spPr>
          <c:marker>
            <c:symbol val="none"/>
          </c:marker>
          <c:xVal>
            <c:numLit>
              <c:formatCode>General</c:formatCode>
              <c:ptCount val="2"/>
              <c:pt idx="0">
                <c:v>66.8</c:v>
              </c:pt>
              <c:pt idx="1">
                <c:v>66.8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76-A77C-4AE2-B9F8-50529FA0D411}"/>
            </c:ext>
          </c:extLst>
        </c:ser>
        <c:ser>
          <c:idx val="80"/>
          <c:order val="80"/>
          <c:tx>
            <c:v>乾球温度座標軸ラベル</c:v>
          </c:tx>
          <c:spPr>
            <a:ln w="3175">
              <a:solidFill>
                <a:srgbClr val="000000"/>
              </a:solidFill>
              <a:prstDash val="solid"/>
            </a:ln>
          </c:spPr>
          <c:marker>
            <c:symbol val="none"/>
          </c:marker>
          <c:dLbls>
            <c:dLbl>
              <c:idx val="0"/>
              <c:layout>
                <c:manualLayout>
                  <c:x val="-5.8711040026246719E-2"/>
                  <c:y val="2.6068376068376069E-2"/>
                </c:manualLayout>
              </c:layout>
              <c:tx>
                <c:rich>
                  <a:bodyPr rot="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乾球温度 </a:t>
                    </a:r>
                    <a:r>
                      <a:rPr lang="en-US"/>
                      <a:t>t[℃]</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7-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c:v>
              </c:pt>
            </c:numLit>
          </c:xVal>
          <c:yVal>
            <c:numLit>
              <c:formatCode>General</c:formatCode>
              <c:ptCount val="1"/>
              <c:pt idx="0">
                <c:v>-3.3333333333333332E-4</c:v>
              </c:pt>
            </c:numLit>
          </c:yVal>
          <c:smooth val="0"/>
          <c:extLst>
            <c:ext xmlns:c16="http://schemas.microsoft.com/office/drawing/2014/chart" uri="{C3380CC4-5D6E-409C-BE32-E72D297353CC}">
              <c16:uniqueId val="{00000078-A77C-4AE2-B9F8-50529FA0D411}"/>
            </c:ext>
          </c:extLst>
        </c:ser>
        <c:ser>
          <c:idx val="81"/>
          <c:order val="81"/>
          <c:tx>
            <c:v>v=0.74</c:v>
          </c:tx>
          <c:spPr>
            <a:ln w="3175">
              <a:solidFill>
                <a:srgbClr val="008000"/>
              </a:solidFill>
              <a:prstDash val="sysDash"/>
            </a:ln>
          </c:spPr>
          <c:marker>
            <c:symbol val="none"/>
          </c:marker>
          <c:dLbls>
            <c:dLbl>
              <c:idx val="0"/>
              <c:layout>
                <c:manualLayout>
                  <c:x val="5.208333333333333E-3"/>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9-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-10.819717583421532</c:v>
              </c:pt>
              <c:pt idx="1">
                <c:v>-12.666516029733602</c:v>
              </c:pt>
            </c:numLit>
          </c:xVal>
          <c:yVal>
            <c:numLit>
              <c:formatCode>General</c:formatCode>
              <c:ptCount val="2"/>
              <c:pt idx="0">
                <c:v>-2E-3</c:v>
              </c:pt>
              <c:pt idx="1">
                <c:v>1.2854115692238809E-3</c:v>
              </c:pt>
            </c:numLit>
          </c:yVal>
          <c:smooth val="0"/>
          <c:extLst>
            <c:ext xmlns:c16="http://schemas.microsoft.com/office/drawing/2014/chart" uri="{C3380CC4-5D6E-409C-BE32-E72D297353CC}">
              <c16:uniqueId val="{0000007A-A77C-4AE2-B9F8-50529FA0D411}"/>
            </c:ext>
          </c:extLst>
        </c:ser>
        <c:ser>
          <c:idx val="82"/>
          <c:order val="82"/>
          <c:tx>
            <c:v>v=0.75</c:v>
          </c:tx>
          <c:spPr>
            <a:ln w="3175">
              <a:solidFill>
                <a:srgbClr val="008000"/>
              </a:solidFill>
              <a:prstDash val="sysDash"/>
            </a:ln>
          </c:spPr>
          <c:marker>
            <c:symbol val="none"/>
          </c:marker>
          <c:dLbls>
            <c:dLbl>
              <c:idx val="0"/>
              <c:layout>
                <c:manualLayout>
                  <c:x val="-2.0516595581802282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B-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-7.2864854941886916</c:v>
              </c:pt>
              <c:pt idx="1">
                <c:v>-9.3906368280907682</c:v>
              </c:pt>
            </c:numLit>
          </c:xVal>
          <c:yVal>
            <c:numLit>
              <c:formatCode>General</c:formatCode>
              <c:ptCount val="2"/>
              <c:pt idx="0">
                <c:v>-2E-3</c:v>
              </c:pt>
              <c:pt idx="1">
                <c:v>1.731881391763524E-3</c:v>
              </c:pt>
            </c:numLit>
          </c:yVal>
          <c:smooth val="0"/>
          <c:extLst>
            <c:ext xmlns:c16="http://schemas.microsoft.com/office/drawing/2014/chart" uri="{C3380CC4-5D6E-409C-BE32-E72D297353CC}">
              <c16:uniqueId val="{0000007C-A77C-4AE2-B9F8-50529FA0D411}"/>
            </c:ext>
          </c:extLst>
        </c:ser>
        <c:ser>
          <c:idx val="83"/>
          <c:order val="83"/>
          <c:tx>
            <c:v>v=0.76</c:v>
          </c:tx>
          <c:spPr>
            <a:ln w="3175">
              <a:solidFill>
                <a:srgbClr val="008000"/>
              </a:solidFill>
              <a:prstDash val="sysDash"/>
            </a:ln>
          </c:spPr>
          <c:marker>
            <c:symbol val="none"/>
          </c:marker>
          <c:dLbls>
            <c:dLbl>
              <c:idx val="0"/>
              <c:layout>
                <c:manualLayout>
                  <c:x val="-2.0516595581802289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D-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-3.7545229315825805</c:v>
              </c:pt>
              <c:pt idx="1">
                <c:v>-6.1862981221654145</c:v>
              </c:pt>
            </c:numLit>
          </c:xVal>
          <c:yVal>
            <c:numLit>
              <c:formatCode>General</c:formatCode>
              <c:ptCount val="2"/>
              <c:pt idx="0">
                <c:v>-2E-3</c:v>
              </c:pt>
              <c:pt idx="1">
                <c:v>2.3047366197127134E-3</c:v>
              </c:pt>
            </c:numLit>
          </c:yVal>
          <c:smooth val="0"/>
          <c:extLst>
            <c:ext xmlns:c16="http://schemas.microsoft.com/office/drawing/2014/chart" uri="{C3380CC4-5D6E-409C-BE32-E72D297353CC}">
              <c16:uniqueId val="{0000007E-A77C-4AE2-B9F8-50529FA0D411}"/>
            </c:ext>
          </c:extLst>
        </c:ser>
        <c:ser>
          <c:idx val="84"/>
          <c:order val="84"/>
          <c:tx>
            <c:v>v=0.77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F-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-0.23266834262625002</c:v>
              </c:pt>
              <c:pt idx="1">
                <c:v>-3.0548670853358542</c:v>
              </c:pt>
            </c:numLit>
          </c:xVal>
          <c:yVal>
            <c:numLit>
              <c:formatCode>General</c:formatCode>
              <c:ptCount val="2"/>
              <c:pt idx="0">
                <c:v>-2E-3</c:v>
              </c:pt>
              <c:pt idx="1">
                <c:v>3.0312988865860667E-3</c:v>
              </c:pt>
            </c:numLit>
          </c:yVal>
          <c:smooth val="0"/>
          <c:extLst>
            <c:ext xmlns:c16="http://schemas.microsoft.com/office/drawing/2014/chart" uri="{C3380CC4-5D6E-409C-BE32-E72D297353CC}">
              <c16:uniqueId val="{00000080-A77C-4AE2-B9F8-50529FA0D411}"/>
            </c:ext>
          </c:extLst>
        </c:ser>
        <c:ser>
          <c:idx val="85"/>
          <c:order val="85"/>
          <c:tx>
            <c:v>v=0.78</c:v>
          </c:tx>
          <c:spPr>
            <a:ln w="3175">
              <a:solidFill>
                <a:srgbClr val="008000"/>
              </a:solidFill>
              <a:prstDash val="sysDash"/>
            </a:ln>
          </c:spPr>
          <c:marker>
            <c:symbol val="none"/>
          </c:marker>
          <c:dLbls>
            <c:dLbl>
              <c:idx val="0"/>
              <c:layout>
                <c:manualLayout>
                  <c:x val="-2.0516595581802306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1-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3.292969549510683</c:v>
              </c:pt>
              <c:pt idx="1">
                <c:v>-1.4915948356361943E-2</c:v>
              </c:pt>
            </c:numLit>
          </c:xVal>
          <c:yVal>
            <c:numLit>
              <c:formatCode>General</c:formatCode>
              <c:ptCount val="2"/>
              <c:pt idx="0">
                <c:v>-2E-3</c:v>
              </c:pt>
              <c:pt idx="1">
                <c:v>3.9191812932634108E-3</c:v>
              </c:pt>
            </c:numLit>
          </c:yVal>
          <c:smooth val="0"/>
          <c:extLst>
            <c:ext xmlns:c16="http://schemas.microsoft.com/office/drawing/2014/chart" uri="{C3380CC4-5D6E-409C-BE32-E72D297353CC}">
              <c16:uniqueId val="{00000082-A77C-4AE2-B9F8-50529FA0D411}"/>
            </c:ext>
          </c:extLst>
        </c:ser>
        <c:ser>
          <c:idx val="86"/>
          <c:order val="86"/>
          <c:tx>
            <c:v>v=0.79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3-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6.8260757714591938</c:v>
              </c:pt>
              <c:pt idx="1">
                <c:v>2.9654311347273135</c:v>
              </c:pt>
            </c:numLit>
          </c:xVal>
          <c:yVal>
            <c:numLit>
              <c:formatCode>General</c:formatCode>
              <c:ptCount val="2"/>
              <c:pt idx="0">
                <c:v>-2E-3</c:v>
              </c:pt>
              <c:pt idx="1">
                <c:v>4.8879916421329331E-3</c:v>
              </c:pt>
            </c:numLit>
          </c:yVal>
          <c:smooth val="0"/>
          <c:extLst>
            <c:ext xmlns:c16="http://schemas.microsoft.com/office/drawing/2014/chart" uri="{C3380CC4-5D6E-409C-BE32-E72D297353CC}">
              <c16:uniqueId val="{00000084-A77C-4AE2-B9F8-50529FA0D411}"/>
            </c:ext>
          </c:extLst>
        </c:ser>
        <c:ser>
          <c:idx val="87"/>
          <c:order val="87"/>
          <c:tx>
            <c:v>v=0.80</c:v>
          </c:tx>
          <c:spPr>
            <a:ln w="3175">
              <a:solidFill>
                <a:srgbClr val="008000"/>
              </a:solidFill>
              <a:prstDash val="sysDash"/>
            </a:ln>
          </c:spPr>
          <c:marker>
            <c:symbol val="none"/>
          </c:marker>
          <c:dLbls>
            <c:dLbl>
              <c:idx val="0"/>
              <c:layout>
                <c:manualLayout>
                  <c:x val="-2.0516595581802306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5-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10.351053522057114</c:v>
              </c:pt>
              <c:pt idx="1">
                <c:v>5.8662977981873352</c:v>
              </c:pt>
            </c:numLit>
          </c:xVal>
          <c:yVal>
            <c:numLit>
              <c:formatCode>General</c:formatCode>
              <c:ptCount val="2"/>
              <c:pt idx="0">
                <c:v>-2E-3</c:v>
              </c:pt>
              <c:pt idx="1">
                <c:v>6.0361546259299547E-3</c:v>
              </c:pt>
            </c:numLit>
          </c:yVal>
          <c:smooth val="0"/>
          <c:extLst>
            <c:ext xmlns:c16="http://schemas.microsoft.com/office/drawing/2014/chart" uri="{C3380CC4-5D6E-409C-BE32-E72D297353CC}">
              <c16:uniqueId val="{00000086-A77C-4AE2-B9F8-50529FA0D411}"/>
            </c:ext>
          </c:extLst>
        </c:ser>
        <c:ser>
          <c:idx val="88"/>
          <c:order val="88"/>
          <c:tx>
            <c:v>v=0.81</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7-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13.8822779507849</c:v>
              </c:pt>
              <c:pt idx="1">
                <c:v>8.649590906853188</c:v>
              </c:pt>
            </c:numLit>
          </c:xVal>
          <c:yVal>
            <c:numLit>
              <c:formatCode>General</c:formatCode>
              <c:ptCount val="2"/>
              <c:pt idx="0">
                <c:v>-2E-3</c:v>
              </c:pt>
              <c:pt idx="1">
                <c:v>7.3645038493948276E-3</c:v>
              </c:pt>
            </c:numLit>
          </c:yVal>
          <c:smooth val="0"/>
          <c:extLst>
            <c:ext xmlns:c16="http://schemas.microsoft.com/office/drawing/2014/chart" uri="{C3380CC4-5D6E-409C-BE32-E72D297353CC}">
              <c16:uniqueId val="{00000088-A77C-4AE2-B9F8-50529FA0D411}"/>
            </c:ext>
          </c:extLst>
        </c:ser>
        <c:ser>
          <c:idx val="89"/>
          <c:order val="89"/>
          <c:tx>
            <c:v>v=0.82</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9-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17.41240316003833</c:v>
              </c:pt>
              <c:pt idx="1">
                <c:v>11.325924832213108</c:v>
              </c:pt>
            </c:numLit>
          </c:xVal>
          <c:yVal>
            <c:numLit>
              <c:formatCode>General</c:formatCode>
              <c:ptCount val="2"/>
              <c:pt idx="0">
                <c:v>-2E-3</c:v>
              </c:pt>
              <c:pt idx="1">
                <c:v>8.8894048219540917E-3</c:v>
              </c:pt>
            </c:numLit>
          </c:yVal>
          <c:smooth val="0"/>
          <c:extLst>
            <c:ext xmlns:c16="http://schemas.microsoft.com/office/drawing/2014/chart" uri="{C3380CC4-5D6E-409C-BE32-E72D297353CC}">
              <c16:uniqueId val="{0000008A-A77C-4AE2-B9F8-50529FA0D411}"/>
            </c:ext>
          </c:extLst>
        </c:ser>
        <c:ser>
          <c:idx val="90"/>
          <c:order val="90"/>
          <c:tx>
            <c:v>v=0.83</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0.83</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B-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20.940539643650364</c:v>
              </c:pt>
              <c:pt idx="1">
                <c:v>13.896487719949739</c:v>
              </c:pt>
            </c:numLit>
          </c:xVal>
          <c:yVal>
            <c:numLit>
              <c:formatCode>General</c:formatCode>
              <c:ptCount val="2"/>
              <c:pt idx="0">
                <c:v>-2E-3</c:v>
              </c:pt>
              <c:pt idx="1">
                <c:v>1.0621523827731447E-2</c:v>
              </c:pt>
            </c:numLit>
          </c:yVal>
          <c:smooth val="0"/>
          <c:extLst>
            <c:ext xmlns:c16="http://schemas.microsoft.com/office/drawing/2014/chart" uri="{C3380CC4-5D6E-409C-BE32-E72D297353CC}">
              <c16:uniqueId val="{0000008C-A77C-4AE2-B9F8-50529FA0D411}"/>
            </c:ext>
          </c:extLst>
        </c:ser>
        <c:ser>
          <c:idx val="91"/>
          <c:order val="91"/>
          <c:tx>
            <c:v>v=0.84</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D-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24.466622439659471</c:v>
              </c:pt>
              <c:pt idx="1">
                <c:v>16.362648477512483</c:v>
              </c:pt>
            </c:numLit>
          </c:xVal>
          <c:yVal>
            <c:numLit>
              <c:formatCode>General</c:formatCode>
              <c:ptCount val="2"/>
              <c:pt idx="0">
                <c:v>-2E-3</c:v>
              </c:pt>
              <c:pt idx="1">
                <c:v>1.2569358624897643E-2</c:v>
              </c:pt>
            </c:numLit>
          </c:yVal>
          <c:smooth val="0"/>
          <c:extLst>
            <c:ext xmlns:c16="http://schemas.microsoft.com/office/drawing/2014/chart" uri="{C3380CC4-5D6E-409C-BE32-E72D297353CC}">
              <c16:uniqueId val="{0000008E-A77C-4AE2-B9F8-50529FA0D411}"/>
            </c:ext>
          </c:extLst>
        </c:ser>
        <c:ser>
          <c:idx val="92"/>
          <c:order val="92"/>
          <c:tx>
            <c:v>v=0.85</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F-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27.996952624892671</c:v>
              </c:pt>
              <c:pt idx="1">
                <c:v>18.69748908293208</c:v>
              </c:pt>
            </c:numLit>
          </c:xVal>
          <c:yVal>
            <c:numLit>
              <c:formatCode>General</c:formatCode>
              <c:ptCount val="2"/>
              <c:pt idx="0">
                <c:v>-2E-3</c:v>
              </c:pt>
              <c:pt idx="1">
                <c:v>1.4710821367264768E-2</c:v>
              </c:pt>
            </c:numLit>
          </c:yVal>
          <c:smooth val="0"/>
          <c:extLst>
            <c:ext xmlns:c16="http://schemas.microsoft.com/office/drawing/2014/chart" uri="{C3380CC4-5D6E-409C-BE32-E72D297353CC}">
              <c16:uniqueId val="{00000090-A77C-4AE2-B9F8-50529FA0D411}"/>
            </c:ext>
          </c:extLst>
        </c:ser>
        <c:ser>
          <c:idx val="93"/>
          <c:order val="93"/>
          <c:tx>
            <c:v>v=0.86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1-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31.524879556158368</c:v>
              </c:pt>
              <c:pt idx="1">
                <c:v>20.931207615293747</c:v>
              </c:pt>
            </c:numLit>
          </c:xVal>
          <c:yVal>
            <c:numLit>
              <c:formatCode>General</c:formatCode>
              <c:ptCount val="2"/>
              <c:pt idx="0">
                <c:v>-2E-3</c:v>
              </c:pt>
              <c:pt idx="1">
                <c:v>1.7068755909972859E-2</c:v>
              </c:pt>
            </c:numLit>
          </c:yVal>
          <c:smooth val="0"/>
          <c:extLst>
            <c:ext xmlns:c16="http://schemas.microsoft.com/office/drawing/2014/chart" uri="{C3380CC4-5D6E-409C-BE32-E72D297353CC}">
              <c16:uniqueId val="{00000092-A77C-4AE2-B9F8-50529FA0D411}"/>
            </c:ext>
          </c:extLst>
        </c:ser>
        <c:ser>
          <c:idx val="94"/>
          <c:order val="94"/>
          <c:tx>
            <c:v>v=0.87</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3-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35.054536959402618</c:v>
              </c:pt>
              <c:pt idx="1">
                <c:v>23.046570044941749</c:v>
              </c:pt>
            </c:numLit>
          </c:xVal>
          <c:yVal>
            <c:numLit>
              <c:formatCode>General</c:formatCode>
              <c:ptCount val="2"/>
              <c:pt idx="0">
                <c:v>-2E-3</c:v>
              </c:pt>
              <c:pt idx="1">
                <c:v>1.9617501780725587E-2</c:v>
              </c:pt>
            </c:numLit>
          </c:yVal>
          <c:smooth val="0"/>
          <c:extLst>
            <c:ext xmlns:c16="http://schemas.microsoft.com/office/drawing/2014/chart" uri="{C3380CC4-5D6E-409C-BE32-E72D297353CC}">
              <c16:uniqueId val="{00000094-A77C-4AE2-B9F8-50529FA0D411}"/>
            </c:ext>
          </c:extLst>
        </c:ser>
        <c:ser>
          <c:idx val="95"/>
          <c:order val="95"/>
          <c:tx>
            <c:v>v=0.88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5-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38.582820092904591</c:v>
              </c:pt>
              <c:pt idx="1">
                <c:v>25.064077168608879</c:v>
              </c:pt>
            </c:numLit>
          </c:xVal>
          <c:yVal>
            <c:numLit>
              <c:formatCode>General</c:formatCode>
              <c:ptCount val="2"/>
              <c:pt idx="0">
                <c:v>-2E-3</c:v>
              </c:pt>
              <c:pt idx="1">
                <c:v>2.237082096787146E-2</c:v>
              </c:pt>
            </c:numLit>
          </c:yVal>
          <c:smooth val="0"/>
          <c:extLst>
            <c:ext xmlns:c16="http://schemas.microsoft.com/office/drawing/2014/chart" uri="{C3380CC4-5D6E-409C-BE32-E72D297353CC}">
              <c16:uniqueId val="{00000096-A77C-4AE2-B9F8-50529FA0D411}"/>
            </c:ext>
          </c:extLst>
        </c:ser>
        <c:ser>
          <c:idx val="96"/>
          <c:order val="96"/>
          <c:tx>
            <c:v>v=0.89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7-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42.111936256826077</c:v>
              </c:pt>
              <c:pt idx="1">
                <c:v>26.975900046527777</c:v>
              </c:pt>
            </c:numLit>
          </c:xVal>
          <c:yVal>
            <c:numLit>
              <c:formatCode>General</c:formatCode>
              <c:ptCount val="2"/>
              <c:pt idx="0">
                <c:v>-2E-3</c:v>
              </c:pt>
              <c:pt idx="1">
                <c:v>2.5303494525489405E-2</c:v>
              </c:pt>
            </c:numLit>
          </c:yVal>
          <c:smooth val="0"/>
          <c:extLst>
            <c:ext xmlns:c16="http://schemas.microsoft.com/office/drawing/2014/chart" uri="{C3380CC4-5D6E-409C-BE32-E72D297353CC}">
              <c16:uniqueId val="{00000098-A77C-4AE2-B9F8-50529FA0D411}"/>
            </c:ext>
          </c:extLst>
        </c:ser>
        <c:ser>
          <c:idx val="97"/>
          <c:order val="97"/>
          <c:tx>
            <c:v>v=0.90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9-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45.640949891181556</c:v>
              </c:pt>
              <c:pt idx="1">
                <c:v>28.792920065937825</c:v>
              </c:pt>
            </c:numLit>
          </c:xVal>
          <c:yVal>
            <c:numLit>
              <c:formatCode>General</c:formatCode>
              <c:ptCount val="2"/>
              <c:pt idx="0">
                <c:v>-2E-3</c:v>
              </c:pt>
              <c:pt idx="1">
                <c:v>2.8413596959233227E-2</c:v>
              </c:pt>
            </c:numLit>
          </c:yVal>
          <c:smooth val="0"/>
          <c:extLst>
            <c:ext xmlns:c16="http://schemas.microsoft.com/office/drawing/2014/chart" uri="{C3380CC4-5D6E-409C-BE32-E72D297353CC}">
              <c16:uniqueId val="{0000009A-A77C-4AE2-B9F8-50529FA0D411}"/>
            </c:ext>
          </c:extLst>
        </c:ser>
        <c:ser>
          <c:idx val="98"/>
          <c:order val="98"/>
          <c:tx>
            <c:v>v=0.91</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B-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49.169200968936373</c:v>
              </c:pt>
              <c:pt idx="1">
                <c:v>30.525848231015519</c:v>
              </c:pt>
            </c:numLit>
          </c:xVal>
          <c:yVal>
            <c:numLit>
              <c:formatCode>General</c:formatCode>
              <c:ptCount val="2"/>
              <c:pt idx="0">
                <c:v>-2E-3</c:v>
              </c:pt>
              <c:pt idx="1">
                <c:v>3.1701926236084019E-2</c:v>
              </c:pt>
            </c:numLit>
          </c:yVal>
          <c:smooth val="0"/>
          <c:extLst>
            <c:ext xmlns:c16="http://schemas.microsoft.com/office/drawing/2014/chart" uri="{C3380CC4-5D6E-409C-BE32-E72D297353CC}">
              <c16:uniqueId val="{0000009C-A77C-4AE2-B9F8-50529FA0D411}"/>
            </c:ext>
          </c:extLst>
        </c:ser>
        <c:ser>
          <c:idx val="99"/>
          <c:order val="99"/>
          <c:tx>
            <c:v>v=0.92</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D-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52.698567883981219</c:v>
              </c:pt>
              <c:pt idx="1">
                <c:v>32.166396124664999</c:v>
              </c:pt>
            </c:numLit>
          </c:xVal>
          <c:yVal>
            <c:numLit>
              <c:formatCode>General</c:formatCode>
              <c:ptCount val="2"/>
              <c:pt idx="0">
                <c:v>-2E-3</c:v>
              </c:pt>
              <c:pt idx="1">
                <c:v>3.5131294800109104E-2</c:v>
              </c:pt>
            </c:numLit>
          </c:yVal>
          <c:smooth val="0"/>
          <c:extLst>
            <c:ext xmlns:c16="http://schemas.microsoft.com/office/drawing/2014/chart" uri="{C3380CC4-5D6E-409C-BE32-E72D297353CC}">
              <c16:uniqueId val="{0000009E-A77C-4AE2-B9F8-50529FA0D411}"/>
            </c:ext>
          </c:extLst>
        </c:ser>
        <c:ser>
          <c:idx val="100"/>
          <c:order val="100"/>
          <c:tx>
            <c:v>v=0.93</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0.93</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F-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56.227188170694269</c:v>
              </c:pt>
              <c:pt idx="1">
                <c:v>33.734388646220957</c:v>
              </c:pt>
            </c:numLit>
          </c:xVal>
          <c:yVal>
            <c:numLit>
              <c:formatCode>General</c:formatCode>
              <c:ptCount val="2"/>
              <c:pt idx="0">
                <c:v>-2E-3</c:v>
              </c:pt>
              <c:pt idx="1">
                <c:v>3.8720837608012822E-2</c:v>
              </c:pt>
            </c:numLit>
          </c:yVal>
          <c:smooth val="0"/>
          <c:extLst>
            <c:ext xmlns:c16="http://schemas.microsoft.com/office/drawing/2014/chart" uri="{C3380CC4-5D6E-409C-BE32-E72D297353CC}">
              <c16:uniqueId val="{000000A0-A77C-4AE2-B9F8-50529FA0D411}"/>
            </c:ext>
          </c:extLst>
        </c:ser>
        <c:ser>
          <c:idx val="101"/>
          <c:order val="101"/>
          <c:tx>
            <c:v>v=0.94</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1-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59.756782793796916</c:v>
              </c:pt>
              <c:pt idx="1">
                <c:v>35.221176525852293</c:v>
              </c:pt>
            </c:numLit>
          </c:xVal>
          <c:yVal>
            <c:numLit>
              <c:formatCode>General</c:formatCode>
              <c:ptCount val="2"/>
              <c:pt idx="0">
                <c:v>-2E-3</c:v>
              </c:pt>
              <c:pt idx="1">
                <c:v>4.24278397230183E-2</c:v>
              </c:pt>
            </c:numLit>
          </c:yVal>
          <c:smooth val="0"/>
          <c:extLst>
            <c:ext xmlns:c16="http://schemas.microsoft.com/office/drawing/2014/chart" uri="{C3380CC4-5D6E-409C-BE32-E72D297353CC}">
              <c16:uniqueId val="{000000A2-A77C-4AE2-B9F8-50529FA0D411}"/>
            </c:ext>
          </c:extLst>
        </c:ser>
        <c:ser>
          <c:idx val="102"/>
          <c:order val="102"/>
          <c:tx>
            <c:v>v=0.95</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3-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63.285654575664786</c:v>
              </c:pt>
              <c:pt idx="1">
                <c:v>36.646348503581315</c:v>
              </c:pt>
            </c:numLit>
          </c:xVal>
          <c:yVal>
            <c:numLit>
              <c:formatCode>General</c:formatCode>
              <c:ptCount val="2"/>
              <c:pt idx="0">
                <c:v>-2E-3</c:v>
              </c:pt>
              <c:pt idx="1">
                <c:v>4.6278182171319286E-2</c:v>
              </c:pt>
            </c:numLit>
          </c:yVal>
          <c:smooth val="0"/>
          <c:extLst>
            <c:ext xmlns:c16="http://schemas.microsoft.com/office/drawing/2014/chart" uri="{C3380CC4-5D6E-409C-BE32-E72D297353CC}">
              <c16:uniqueId val="{000000A4-A77C-4AE2-B9F8-50529FA0D411}"/>
            </c:ext>
          </c:extLst>
        </c:ser>
        <c:ser>
          <c:idx val="103"/>
          <c:order val="103"/>
          <c:tx>
            <c:v>比容積座標軸ラベル</c:v>
          </c:tx>
          <c:spPr>
            <a:ln w="3175">
              <a:solidFill>
                <a:srgbClr val="000000"/>
              </a:solidFill>
              <a:prstDash val="solid"/>
            </a:ln>
          </c:spPr>
          <c:marker>
            <c:symbol val="none"/>
          </c:marker>
          <c:dLbls>
            <c:dLbl>
              <c:idx val="0"/>
              <c:layout>
                <c:manualLayout>
                  <c:x val="-5.8864419291338579E-2"/>
                  <c:y val="0"/>
                </c:manualLayout>
              </c:layout>
              <c:tx>
                <c:rich>
                  <a:bodyPr rot="432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比容積 </a:t>
                    </a:r>
                    <a:r>
                      <a:rPr lang="en-US"/>
                      <a:t>v [㎥/kg(DA)]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5-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60.116790731008926</c:v>
              </c:pt>
            </c:numLit>
          </c:xVal>
          <c:yVal>
            <c:numLit>
              <c:formatCode>General</c:formatCode>
              <c:ptCount val="1"/>
              <c:pt idx="0">
                <c:v>3.7777777777777779E-3</c:v>
              </c:pt>
            </c:numLit>
          </c:yVal>
          <c:smooth val="0"/>
          <c:extLst>
            <c:ext xmlns:c16="http://schemas.microsoft.com/office/drawing/2014/chart" uri="{C3380CC4-5D6E-409C-BE32-E72D297353CC}">
              <c16:uniqueId val="{000000A6-A77C-4AE2-B9F8-50529FA0D411}"/>
            </c:ext>
          </c:extLst>
        </c:ser>
        <c:ser>
          <c:idx val="104"/>
          <c:order val="104"/>
          <c:tx>
            <c:v>v=0.96</c:v>
          </c:tx>
          <c:spPr>
            <a:ln w="3175">
              <a:solidFill>
                <a:srgbClr val="008000"/>
              </a:solidFill>
              <a:prstDash val="sysDash"/>
            </a:ln>
          </c:spPr>
          <c:marker>
            <c:symbol val="none"/>
          </c:marker>
          <c:dLbls>
            <c:dLbl>
              <c:idx val="0"/>
              <c:layout>
                <c:manualLayout>
                  <c:x val="5.2083333333334605E-3"/>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7-A77C-4AE2-B9F8-50529FA0D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66.815365387706422</c:v>
              </c:pt>
              <c:pt idx="1">
                <c:v>38.000893917674908</c:v>
              </c:pt>
            </c:numLit>
          </c:xVal>
          <c:yVal>
            <c:numLit>
              <c:formatCode>General</c:formatCode>
              <c:ptCount val="2"/>
              <c:pt idx="0">
                <c:v>-2E-3</c:v>
              </c:pt>
              <c:pt idx="1">
                <c:v>5.022497374403067E-2</c:v>
              </c:pt>
            </c:numLit>
          </c:yVal>
          <c:smooth val="0"/>
          <c:extLst>
            <c:ext xmlns:c16="http://schemas.microsoft.com/office/drawing/2014/chart" uri="{C3380CC4-5D6E-409C-BE32-E72D297353CC}">
              <c16:uniqueId val="{000000A8-A77C-4AE2-B9F8-50529FA0D411}"/>
            </c:ext>
          </c:extLst>
        </c:ser>
        <c:ser>
          <c:idx val="105"/>
          <c:order val="105"/>
          <c:tx>
            <c:v>v=0.97</c:v>
          </c:tx>
          <c:spPr>
            <a:ln w="3175">
              <a:solidFill>
                <a:srgbClr val="008000"/>
              </a:solidFill>
              <a:prstDash val="sysDash"/>
            </a:ln>
          </c:spPr>
          <c:marker>
            <c:symbol val="none"/>
          </c:marker>
          <c:xVal>
            <c:numLit>
              <c:formatCode>General</c:formatCode>
              <c:ptCount val="2"/>
              <c:pt idx="0">
                <c:v>66</c:v>
              </c:pt>
              <c:pt idx="1">
                <c:v>39.313865954617441</c:v>
              </c:pt>
            </c:numLit>
          </c:xVal>
          <c:yVal>
            <c:numLit>
              <c:formatCode>General</c:formatCode>
              <c:ptCount val="2"/>
              <c:pt idx="0">
                <c:v>5.9449640811982344E-3</c:v>
              </c:pt>
              <c:pt idx="1">
                <c:v>5.433434984269718E-2</c:v>
              </c:pt>
            </c:numLit>
          </c:yVal>
          <c:smooth val="0"/>
          <c:extLst>
            <c:ext xmlns:c16="http://schemas.microsoft.com/office/drawing/2014/chart" uri="{C3380CC4-5D6E-409C-BE32-E72D297353CC}">
              <c16:uniqueId val="{000000A9-A77C-4AE2-B9F8-50529FA0D411}"/>
            </c:ext>
          </c:extLst>
        </c:ser>
        <c:ser>
          <c:idx val="106"/>
          <c:order val="106"/>
          <c:tx>
            <c:v>v=0.98</c:v>
          </c:tx>
          <c:spPr>
            <a:ln w="3175">
              <a:solidFill>
                <a:srgbClr val="008000"/>
              </a:solidFill>
              <a:prstDash val="sysDash"/>
            </a:ln>
          </c:spPr>
          <c:marker>
            <c:symbol val="none"/>
          </c:marker>
          <c:xVal>
            <c:numLit>
              <c:formatCode>General</c:formatCode>
              <c:ptCount val="2"/>
              <c:pt idx="0">
                <c:v>66</c:v>
              </c:pt>
              <c:pt idx="1">
                <c:v>40.556815447610269</c:v>
              </c:pt>
            </c:numLit>
          </c:xVal>
          <c:yVal>
            <c:numLit>
              <c:formatCode>General</c:formatCode>
              <c:ptCount val="2"/>
              <c:pt idx="0">
                <c:v>1.2418292643437676E-2</c:v>
              </c:pt>
              <c:pt idx="1">
                <c:v>5.8495458668279411E-2</c:v>
              </c:pt>
            </c:numLit>
          </c:yVal>
          <c:smooth val="0"/>
          <c:extLst>
            <c:ext xmlns:c16="http://schemas.microsoft.com/office/drawing/2014/chart" uri="{C3380CC4-5D6E-409C-BE32-E72D297353CC}">
              <c16:uniqueId val="{000000AA-A77C-4AE2-B9F8-50529FA0D411}"/>
            </c:ext>
          </c:extLst>
        </c:ser>
        <c:ser>
          <c:idx val="107"/>
          <c:order val="107"/>
          <c:tx>
            <c:v>v=0.99</c:v>
          </c:tx>
          <c:spPr>
            <a:ln w="3175">
              <a:solidFill>
                <a:srgbClr val="008000"/>
              </a:solidFill>
              <a:prstDash val="sysDash"/>
            </a:ln>
          </c:spPr>
          <c:marker>
            <c:symbol val="none"/>
          </c:marker>
          <c:xVal>
            <c:numLit>
              <c:formatCode>General</c:formatCode>
              <c:ptCount val="2"/>
              <c:pt idx="0">
                <c:v>66</c:v>
              </c:pt>
              <c:pt idx="1">
                <c:v>41.749043305550387</c:v>
              </c:pt>
            </c:numLit>
          </c:xVal>
          <c:yVal>
            <c:numLit>
              <c:formatCode>General</c:formatCode>
              <c:ptCount val="2"/>
              <c:pt idx="0">
                <c:v>1.8891621205677115E-2</c:v>
              </c:pt>
              <c:pt idx="1">
                <c:v>6.274667187764571E-2</c:v>
              </c:pt>
            </c:numLit>
          </c:yVal>
          <c:smooth val="0"/>
          <c:extLst>
            <c:ext xmlns:c16="http://schemas.microsoft.com/office/drawing/2014/chart" uri="{C3380CC4-5D6E-409C-BE32-E72D297353CC}">
              <c16:uniqueId val="{000000AB-A77C-4AE2-B9F8-50529FA0D411}"/>
            </c:ext>
          </c:extLst>
        </c:ser>
        <c:ser>
          <c:idx val="108"/>
          <c:order val="108"/>
          <c:tx>
            <c:v>v=1.00</c:v>
          </c:tx>
          <c:spPr>
            <a:ln w="3175">
              <a:solidFill>
                <a:srgbClr val="008000"/>
              </a:solidFill>
              <a:prstDash val="sysDash"/>
            </a:ln>
          </c:spPr>
          <c:marker>
            <c:symbol val="none"/>
          </c:marker>
          <c:xVal>
            <c:numLit>
              <c:formatCode>General</c:formatCode>
              <c:ptCount val="2"/>
              <c:pt idx="0">
                <c:v>66</c:v>
              </c:pt>
              <c:pt idx="1">
                <c:v>42.900363313830191</c:v>
              </c:pt>
            </c:numLit>
          </c:xVal>
          <c:yVal>
            <c:numLit>
              <c:formatCode>General</c:formatCode>
              <c:ptCount val="2"/>
              <c:pt idx="0">
                <c:v>2.5364949767916554E-2</c:v>
              </c:pt>
              <c:pt idx="1">
                <c:v>6.7104479143103232E-2</c:v>
              </c:pt>
            </c:numLit>
          </c:yVal>
          <c:smooth val="0"/>
          <c:extLst>
            <c:ext xmlns:c16="http://schemas.microsoft.com/office/drawing/2014/chart" uri="{C3380CC4-5D6E-409C-BE32-E72D297353CC}">
              <c16:uniqueId val="{000000AC-A77C-4AE2-B9F8-50529FA0D411}"/>
            </c:ext>
          </c:extLst>
        </c:ser>
        <c:ser>
          <c:idx val="109"/>
          <c:order val="109"/>
          <c:tx>
            <c:v>v=1.01</c:v>
          </c:tx>
          <c:spPr>
            <a:ln w="3175">
              <a:solidFill>
                <a:srgbClr val="008000"/>
              </a:solidFill>
              <a:prstDash val="sysDash"/>
            </a:ln>
          </c:spPr>
          <c:marker>
            <c:symbol val="none"/>
          </c:marker>
          <c:xVal>
            <c:numLit>
              <c:formatCode>General</c:formatCode>
              <c:ptCount val="2"/>
              <c:pt idx="0">
                <c:v>66</c:v>
              </c:pt>
              <c:pt idx="1">
                <c:v>44.01085581590322</c:v>
              </c:pt>
            </c:numLit>
          </c:xVal>
          <c:yVal>
            <c:numLit>
              <c:formatCode>General</c:formatCode>
              <c:ptCount val="2"/>
              <c:pt idx="0">
                <c:v>3.1838278330155997E-2</c:v>
              </c:pt>
              <c:pt idx="1">
                <c:v>7.1552413795813993E-2</c:v>
              </c:pt>
            </c:numLit>
          </c:yVal>
          <c:smooth val="0"/>
          <c:extLst>
            <c:ext xmlns:c16="http://schemas.microsoft.com/office/drawing/2014/chart" uri="{C3380CC4-5D6E-409C-BE32-E72D297353CC}">
              <c16:uniqueId val="{000000AD-A77C-4AE2-B9F8-50529FA0D411}"/>
            </c:ext>
          </c:extLst>
        </c:ser>
        <c:dLbls>
          <c:showLegendKey val="0"/>
          <c:showVal val="0"/>
          <c:showCatName val="0"/>
          <c:showSerName val="0"/>
          <c:showPercent val="0"/>
          <c:showBubbleSize val="0"/>
        </c:dLbls>
        <c:axId val="358253584"/>
        <c:axId val="358251624"/>
      </c:scatterChart>
      <c:valAx>
        <c:axId val="358253584"/>
        <c:scaling>
          <c:orientation val="minMax"/>
          <c:max val="66.8"/>
          <c:min val="-10.226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226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F2A4-4771-B283-62B984B09AA6}"/>
            </c:ext>
          </c:extLst>
        </c:ser>
        <c:ser>
          <c:idx val="1"/>
          <c:order val="1"/>
          <c:tx>
            <c:v>冷房SHF参照ライン</c:v>
          </c:tx>
          <c:spPr>
            <a:ln w="3175">
              <a:solidFill>
                <a:srgbClr val="008000"/>
              </a:solidFill>
              <a:prstDash val="solid"/>
            </a:ln>
          </c:spPr>
          <c:marker>
            <c:symbol val="none"/>
          </c:marker>
          <c:dPt>
            <c:idx val="0"/>
            <c:marker/>
            <c:bubble3D val="0"/>
            <c:spPr>
              <a:ln w="3175">
                <a:solidFill>
                  <a:srgbClr val="008000"/>
                </a:solidFill>
                <a:prstDash val="solid"/>
              </a:ln>
              <a:effectLst/>
            </c:spPr>
            <c:extLst>
              <c:ext xmlns:c16="http://schemas.microsoft.com/office/drawing/2014/chart" uri="{C3380CC4-5D6E-409C-BE32-E72D297353CC}">
                <c16:uniqueId val="{00000002-F2A4-4771-B283-62B984B09AA6}"/>
              </c:ext>
            </c:extLst>
          </c:dPt>
          <c:dPt>
            <c:idx val="1"/>
            <c:marker>
              <c:symbol val="circle"/>
              <c:size val="3"/>
              <c:spPr>
                <a:solidFill>
                  <a:srgbClr val="000000"/>
                </a:solidFill>
                <a:ln>
                  <a:solidFill>
                    <a:srgbClr val="000000"/>
                  </a:solidFill>
                  <a:prstDash val="solid"/>
                </a:ln>
              </c:spPr>
            </c:marker>
            <c:bubble3D val="0"/>
            <c:spPr>
              <a:ln w="3175">
                <a:solidFill>
                  <a:srgbClr val="008000"/>
                </a:solidFill>
                <a:prstDash val="solid"/>
              </a:ln>
              <a:effectLst/>
            </c:spPr>
            <c:extLst>
              <c:ext xmlns:c16="http://schemas.microsoft.com/office/drawing/2014/chart" uri="{C3380CC4-5D6E-409C-BE32-E72D297353CC}">
                <c16:uniqueId val="{00000003-F2A4-4771-B283-62B984B09AA6}"/>
              </c:ext>
            </c:extLst>
          </c:dPt>
          <c:dLbls>
            <c:dLbl>
              <c:idx val="1"/>
              <c:layout>
                <c:manualLayout>
                  <c:x val="3.4722222222222224E-2"/>
                  <c:y val="5.769230769230769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冷房時 </a:t>
                    </a:r>
                    <a:r>
                      <a:rPr lang="en-US"/>
                      <a:t>SHF=0.95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10.074</c:v>
              </c:pt>
              <c:pt idx="1">
                <c:v>-2.7177909810751162</c:v>
              </c:pt>
            </c:numLit>
          </c:xVal>
          <c:yVal>
            <c:numLit>
              <c:formatCode>General</c:formatCode>
              <c:ptCount val="2"/>
              <c:pt idx="0">
                <c:v>2.2089999999999999E-2</c:v>
              </c:pt>
              <c:pt idx="1">
                <c:v>2.1821645982098278E-2</c:v>
              </c:pt>
            </c:numLit>
          </c:yVal>
          <c:smooth val="0"/>
          <c:extLst>
            <c:ext xmlns:c16="http://schemas.microsoft.com/office/drawing/2014/chart" uri="{C3380CC4-5D6E-409C-BE32-E72D297353CC}">
              <c16:uniqueId val="{00000001-F2A4-4771-B283-62B984B09AA6}"/>
            </c:ext>
          </c:extLst>
        </c:ser>
        <c:ser>
          <c:idx val="2"/>
          <c:order val="2"/>
          <c:tx>
            <c:v>暖房SHF参照ライン</c:v>
          </c:tx>
          <c:spPr>
            <a:ln w="3175">
              <a:solidFill>
                <a:srgbClr val="FF0000"/>
              </a:solidFill>
              <a:prstDash val="solid"/>
            </a:ln>
          </c:spPr>
          <c:marker>
            <c:symbol val="none"/>
          </c:marker>
          <c:dPt>
            <c:idx val="0"/>
            <c:marker/>
            <c:bubble3D val="0"/>
            <c:spPr>
              <a:ln w="3175">
                <a:solidFill>
                  <a:srgbClr val="FF0000"/>
                </a:solidFill>
                <a:prstDash val="solid"/>
              </a:ln>
              <a:effectLst/>
            </c:spPr>
            <c:extLst>
              <c:ext xmlns:c16="http://schemas.microsoft.com/office/drawing/2014/chart" uri="{C3380CC4-5D6E-409C-BE32-E72D297353CC}">
                <c16:uniqueId val="{00000005-F2A4-4771-B283-62B984B09AA6}"/>
              </c:ext>
            </c:extLst>
          </c:dPt>
          <c:dPt>
            <c:idx val="1"/>
            <c:marker>
              <c:symbol val="circle"/>
              <c:size val="3"/>
              <c:spPr>
                <a:solidFill>
                  <a:srgbClr val="000000"/>
                </a:solidFill>
                <a:ln>
                  <a:solidFill>
                    <a:srgbClr val="000000"/>
                  </a:solidFill>
                  <a:prstDash val="solid"/>
                </a:ln>
              </c:spPr>
            </c:marker>
            <c:bubble3D val="0"/>
            <c:spPr>
              <a:ln w="3175">
                <a:solidFill>
                  <a:srgbClr val="FF0000"/>
                </a:solidFill>
                <a:prstDash val="solid"/>
              </a:ln>
              <a:effectLst/>
            </c:spPr>
            <c:extLst>
              <c:ext xmlns:c16="http://schemas.microsoft.com/office/drawing/2014/chart" uri="{C3380CC4-5D6E-409C-BE32-E72D297353CC}">
                <c16:uniqueId val="{00000006-F2A4-4771-B283-62B984B09AA6}"/>
              </c:ext>
            </c:extLst>
          </c:dPt>
          <c:dLbls>
            <c:dLbl>
              <c:idx val="1"/>
              <c:layout>
                <c:manualLayout>
                  <c:x val="3.4722222222222224E-2"/>
                  <c:y val="4.273504273504273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暖房時 </a:t>
                    </a:r>
                    <a:r>
                      <a:rPr lang="en-US"/>
                      <a:t>SHF=1.00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10.074</c:v>
              </c:pt>
              <c:pt idx="1">
                <c:v>-2.7260000000000009</c:v>
              </c:pt>
            </c:numLit>
          </c:xVal>
          <c:yVal>
            <c:numLit>
              <c:formatCode>General</c:formatCode>
              <c:ptCount val="2"/>
              <c:pt idx="0">
                <c:v>2.2089999999999999E-2</c:v>
              </c:pt>
              <c:pt idx="1">
                <c:v>2.2089999999999999E-2</c:v>
              </c:pt>
            </c:numLit>
          </c:yVal>
          <c:smooth val="0"/>
          <c:extLst>
            <c:ext xmlns:c16="http://schemas.microsoft.com/office/drawing/2014/chart" uri="{C3380CC4-5D6E-409C-BE32-E72D297353CC}">
              <c16:uniqueId val="{00000004-F2A4-4771-B283-62B984B09AA6}"/>
            </c:ext>
          </c:extLst>
        </c:ser>
        <c:ser>
          <c:idx val="3"/>
          <c:order val="3"/>
          <c:tx>
            <c:v>熱水分比参照ライン</c:v>
          </c:tx>
          <c:spPr>
            <a:ln w="3175">
              <a:solidFill>
                <a:srgbClr val="FF6600"/>
              </a:solidFill>
              <a:prstDash val="solid"/>
            </a:ln>
          </c:spPr>
          <c:marker>
            <c:symbol val="none"/>
          </c:marker>
          <c:dPt>
            <c:idx val="0"/>
            <c:marker/>
            <c:bubble3D val="0"/>
            <c:spPr>
              <a:ln w="3175">
                <a:solidFill>
                  <a:srgbClr val="FF6600"/>
                </a:solidFill>
                <a:prstDash val="solid"/>
              </a:ln>
              <a:effectLst/>
            </c:spPr>
            <c:extLst>
              <c:ext xmlns:c16="http://schemas.microsoft.com/office/drawing/2014/chart" uri="{C3380CC4-5D6E-409C-BE32-E72D297353CC}">
                <c16:uniqueId val="{00000008-F2A4-4771-B283-62B984B09AA6}"/>
              </c:ext>
            </c:extLst>
          </c:dPt>
          <c:dPt>
            <c:idx val="1"/>
            <c:marker>
              <c:symbol val="circle"/>
              <c:size val="3"/>
              <c:spPr>
                <a:solidFill>
                  <a:srgbClr val="000000"/>
                </a:solidFill>
                <a:ln>
                  <a:solidFill>
                    <a:srgbClr val="000000"/>
                  </a:solidFill>
                  <a:prstDash val="solid"/>
                </a:ln>
              </c:spPr>
            </c:marker>
            <c:bubble3D val="0"/>
            <c:spPr>
              <a:ln w="3175">
                <a:solidFill>
                  <a:srgbClr val="FF6600"/>
                </a:solidFill>
                <a:prstDash val="solid"/>
              </a:ln>
              <a:effectLst/>
            </c:spPr>
            <c:extLst>
              <c:ext xmlns:c16="http://schemas.microsoft.com/office/drawing/2014/chart" uri="{C3380CC4-5D6E-409C-BE32-E72D297353CC}">
                <c16:uniqueId val="{00000009-F2A4-4771-B283-62B984B09AA6}"/>
              </c:ext>
            </c:extLst>
          </c:dPt>
          <c:dLbls>
            <c:dLbl>
              <c:idx val="1"/>
              <c:layout>
                <c:manualLayout>
                  <c:x val="3.4722222222222224E-2"/>
                  <c:y val="7.4786324786324784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加湿用水熱水分比</a:t>
                    </a:r>
                    <a:r>
                      <a:rPr lang="en-US"/>
                      <a:t>=58 [kJ/kg]</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10.074</c:v>
              </c:pt>
              <c:pt idx="1">
                <c:v>-3.2199420772465661</c:v>
              </c:pt>
            </c:numLit>
          </c:xVal>
          <c:yVal>
            <c:numLit>
              <c:formatCode>General</c:formatCode>
              <c:ptCount val="2"/>
              <c:pt idx="0">
                <c:v>2.2089999999999999E-2</c:v>
              </c:pt>
              <c:pt idx="1">
                <c:v>2.7302782289133774E-2</c:v>
              </c:pt>
            </c:numLit>
          </c:yVal>
          <c:smooth val="0"/>
          <c:extLst>
            <c:ext xmlns:c16="http://schemas.microsoft.com/office/drawing/2014/chart" uri="{C3380CC4-5D6E-409C-BE32-E72D297353CC}">
              <c16:uniqueId val="{00000007-F2A4-4771-B283-62B984B09AA6}"/>
            </c:ext>
          </c:extLst>
        </c:ser>
        <c:ser>
          <c:idx val="4"/>
          <c:order val="4"/>
          <c:tx>
            <c:v>予冷コイル入口-出口</c:v>
          </c:tx>
          <c:spPr>
            <a:ln w="25400">
              <a:solidFill>
                <a:srgbClr val="0066CC"/>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①</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2A4-4771-B283-62B984B09AA6}"/>
                </c:ext>
              </c:extLst>
            </c:dLbl>
            <c:dLbl>
              <c:idx val="2"/>
              <c:layout>
                <c:manualLayout>
                  <c:x val="-3.6458333333333336E-2"/>
                  <c:y val="-7.8346673280123027E-17"/>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②</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2A4-4771-B283-62B984B09AA6}"/>
                </c:ext>
              </c:extLst>
            </c:dLbl>
            <c:dLbl>
              <c:idx val="3"/>
              <c:layout>
                <c:manualLayout>
                  <c:x val="-8.6805555555556184E-3"/>
                  <c:y val="-7.8346673280123027E-17"/>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③</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4"/>
              <c:pt idx="0">
                <c:v>32.589213916501002</c:v>
              </c:pt>
              <c:pt idx="1">
                <c:v>32.589213916501002</c:v>
              </c:pt>
              <c:pt idx="2">
                <c:v>16.905743141153081</c:v>
              </c:pt>
              <c:pt idx="3">
                <c:v>17.611473083499007</c:v>
              </c:pt>
            </c:numLit>
          </c:xVal>
          <c:yVal>
            <c:numLit>
              <c:formatCode>General</c:formatCode>
              <c:ptCount val="4"/>
              <c:pt idx="0">
                <c:v>1.8600000000000002E-2</c:v>
              </c:pt>
              <c:pt idx="1">
                <c:v>1.8600000000000002E-2</c:v>
              </c:pt>
              <c:pt idx="2">
                <c:v>1.2330000000000001E-2</c:v>
              </c:pt>
              <c:pt idx="3">
                <c:v>1.2330000000000001E-2</c:v>
              </c:pt>
            </c:numLit>
          </c:yVal>
          <c:smooth val="0"/>
          <c:extLst>
            <c:ext xmlns:c16="http://schemas.microsoft.com/office/drawing/2014/chart" uri="{C3380CC4-5D6E-409C-BE32-E72D297353CC}">
              <c16:uniqueId val="{0000000A-F2A4-4771-B283-62B984B09AA6}"/>
            </c:ext>
          </c:extLst>
        </c:ser>
        <c:ser>
          <c:idx val="5"/>
          <c:order val="5"/>
          <c:tx>
            <c:v>冷房時ファン出口-外気処理ユニット出口</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507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④</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2A4-4771-B283-62B984B09AA6}"/>
                </c:ext>
              </c:extLst>
            </c:dLbl>
            <c:dLbl>
              <c:idx val="2"/>
              <c:layout>
                <c:manualLayout>
                  <c:x val="-2.2569444444444507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⑤</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16.905743141153081</c:v>
              </c:pt>
              <c:pt idx="1">
                <c:v>35.507659471172957</c:v>
              </c:pt>
              <c:pt idx="2">
                <c:v>29.829705322067596</c:v>
              </c:pt>
            </c:numLit>
          </c:xVal>
          <c:yVal>
            <c:numLit>
              <c:formatCode>General</c:formatCode>
              <c:ptCount val="3"/>
              <c:pt idx="0">
                <c:v>1.2330000000000001E-2</c:v>
              </c:pt>
              <c:pt idx="1">
                <c:v>8.5100000000000002E-3</c:v>
              </c:pt>
              <c:pt idx="2">
                <c:v>8.5100000000000002E-3</c:v>
              </c:pt>
            </c:numLit>
          </c:yVal>
          <c:smooth val="0"/>
          <c:extLst>
            <c:ext xmlns:c16="http://schemas.microsoft.com/office/drawing/2014/chart" uri="{C3380CC4-5D6E-409C-BE32-E72D297353CC}">
              <c16:uniqueId val="{0000000E-F2A4-4771-B283-62B984B09AA6}"/>
            </c:ext>
          </c:extLst>
        </c:ser>
        <c:ser>
          <c:idx val="6"/>
          <c:order val="6"/>
          <c:tx>
            <c:v>冷房外気処理→混合点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7.2916679912143284E-3"/>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⑥</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29.829705322067596</c:v>
              </c:pt>
              <c:pt idx="1">
                <c:v>25.583919433399604</c:v>
              </c:pt>
            </c:numLit>
          </c:xVal>
          <c:yVal>
            <c:numLit>
              <c:formatCode>General</c:formatCode>
              <c:ptCount val="2"/>
              <c:pt idx="0">
                <c:v>8.5100000000000002E-3</c:v>
              </c:pt>
              <c:pt idx="1">
                <c:v>1.0449999999999999E-2</c:v>
              </c:pt>
            </c:numLit>
          </c:yVal>
          <c:smooth val="0"/>
          <c:extLst>
            <c:ext xmlns:c16="http://schemas.microsoft.com/office/drawing/2014/chart" uri="{C3380CC4-5D6E-409C-BE32-E72D297353CC}">
              <c16:uniqueId val="{00000011-F2A4-4771-B283-62B984B09AA6}"/>
            </c:ext>
          </c:extLst>
        </c:ser>
        <c:ser>
          <c:idx val="7"/>
          <c:order val="7"/>
          <c:tx>
            <c:v>冷房ドライコイルユニット空気線図</c:v>
          </c:tx>
          <c:spPr>
            <a:ln w="25400">
              <a:solidFill>
                <a:srgbClr val="000080"/>
              </a:solidFill>
              <a:prstDash val="sysDash"/>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⑦</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2A4-4771-B283-62B984B09AA6}"/>
                </c:ext>
              </c:extLst>
            </c:dLbl>
            <c:dLbl>
              <c:idx val="2"/>
              <c:layout>
                <c:manualLayout>
                  <c:x val="-1.1041666898462508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⑧</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25.583919433399604</c:v>
              </c:pt>
              <c:pt idx="1">
                <c:v>16.557831327037771</c:v>
              </c:pt>
              <c:pt idx="2">
                <c:v>16.985946177932405</c:v>
              </c:pt>
            </c:numLit>
          </c:xVal>
          <c:yVal>
            <c:numLit>
              <c:formatCode>General</c:formatCode>
              <c:ptCount val="3"/>
              <c:pt idx="0">
                <c:v>1.0449999999999999E-2</c:v>
              </c:pt>
              <c:pt idx="1">
                <c:v>1.0449999999999999E-2</c:v>
              </c:pt>
              <c:pt idx="2">
                <c:v>1.0449999999999999E-2</c:v>
              </c:pt>
            </c:numLit>
          </c:yVal>
          <c:smooth val="0"/>
          <c:extLst>
            <c:ext xmlns:c16="http://schemas.microsoft.com/office/drawing/2014/chart" uri="{C3380CC4-5D6E-409C-BE32-E72D297353CC}">
              <c16:uniqueId val="{00000013-F2A4-4771-B283-62B984B09AA6}"/>
            </c:ext>
          </c:extLst>
        </c:ser>
        <c:ser>
          <c:idx val="8"/>
          <c:order val="8"/>
          <c:tx>
            <c:v>冷房時室内変化プロセス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5.2083333333332697E-3"/>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⑨</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16.985946177932405</c:v>
              </c:pt>
              <c:pt idx="1">
                <c:v>25.214584493041752</c:v>
              </c:pt>
            </c:numLit>
          </c:xVal>
          <c:yVal>
            <c:numLit>
              <c:formatCode>General</c:formatCode>
              <c:ptCount val="2"/>
              <c:pt idx="0">
                <c:v>1.0449999999999999E-2</c:v>
              </c:pt>
              <c:pt idx="1">
                <c:v>1.0619999999999999E-2</c:v>
              </c:pt>
            </c:numLit>
          </c:yVal>
          <c:smooth val="0"/>
          <c:extLst>
            <c:ext xmlns:c16="http://schemas.microsoft.com/office/drawing/2014/chart" uri="{C3380CC4-5D6E-409C-BE32-E72D297353CC}">
              <c16:uniqueId val="{00000016-F2A4-4771-B283-62B984B09AA6}"/>
            </c:ext>
          </c:extLst>
        </c:ser>
        <c:ser>
          <c:idx val="9"/>
          <c:order val="9"/>
          <c:tx>
            <c:v>冷房時還気ポイント→ドライコイル入口ポイント</c:v>
          </c:tx>
          <c:spPr>
            <a:ln w="12700">
              <a:solidFill>
                <a:srgbClr val="000000"/>
              </a:solidFill>
              <a:prstDash val="sysDash"/>
            </a:ln>
          </c:spPr>
          <c:marker>
            <c:symbol val="circle"/>
            <c:size val="6"/>
            <c:spPr>
              <a:solidFill>
                <a:srgbClr val="FFFFFF"/>
              </a:solidFill>
              <a:ln>
                <a:solidFill>
                  <a:srgbClr val="000000"/>
                </a:solidFill>
                <a:prstDash val="solid"/>
              </a:ln>
            </c:spPr>
          </c:marker>
          <c:xVal>
            <c:numLit>
              <c:formatCode>General</c:formatCode>
              <c:ptCount val="2"/>
              <c:pt idx="0">
                <c:v>25.214584493041752</c:v>
              </c:pt>
              <c:pt idx="1">
                <c:v>25.583919433399604</c:v>
              </c:pt>
            </c:numLit>
          </c:xVal>
          <c:yVal>
            <c:numLit>
              <c:formatCode>General</c:formatCode>
              <c:ptCount val="2"/>
              <c:pt idx="0">
                <c:v>1.0619999999999999E-2</c:v>
              </c:pt>
              <c:pt idx="1">
                <c:v>1.0449999999999999E-2</c:v>
              </c:pt>
            </c:numLit>
          </c:yVal>
          <c:smooth val="0"/>
          <c:extLst>
            <c:ext xmlns:c16="http://schemas.microsoft.com/office/drawing/2014/chart" uri="{C3380CC4-5D6E-409C-BE32-E72D297353CC}">
              <c16:uniqueId val="{00000018-F2A4-4771-B283-62B984B09AA6}"/>
            </c:ext>
          </c:extLst>
        </c:ser>
        <c:ser>
          <c:idx val="10"/>
          <c:order val="10"/>
          <c:tx>
            <c:v>冷房時再生コイル変化プロセス</c:v>
          </c:tx>
          <c:spPr>
            <a:ln w="25400">
              <a:solidFill>
                <a:srgbClr val="FF6600"/>
              </a:solidFill>
              <a:prstDash val="solid"/>
            </a:ln>
          </c:spPr>
          <c:marker>
            <c:symbol val="circle"/>
            <c:size val="6"/>
            <c:spPr>
              <a:solidFill>
                <a:srgbClr val="FFFFFF"/>
              </a:solidFill>
              <a:ln>
                <a:solidFill>
                  <a:srgbClr val="000000"/>
                </a:solidFill>
                <a:prstDash val="solid"/>
              </a:ln>
            </c:spPr>
          </c:marker>
          <c:dLbls>
            <c:dLbl>
              <c:idx val="0"/>
              <c:layout>
                <c:manualLayout>
                  <c:x val="-2.2569444444444507E-2"/>
                  <c:y val="-3.7820512820512818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⑩</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2A4-4771-B283-62B984B09AA6}"/>
                </c:ext>
              </c:extLst>
            </c:dLbl>
            <c:dLbl>
              <c:idx val="1"/>
              <c:layout>
                <c:manualLayout>
                  <c:x val="-2.2569444444444572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⑪</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34.12293926441351</c:v>
              </c:pt>
              <c:pt idx="1">
                <c:v>53.022865904572569</c:v>
              </c:pt>
            </c:numLit>
          </c:xVal>
          <c:yVal>
            <c:numLit>
              <c:formatCode>General</c:formatCode>
              <c:ptCount val="2"/>
              <c:pt idx="0">
                <c:v>1.0500000000000001E-2</c:v>
              </c:pt>
              <c:pt idx="1">
                <c:v>1.0500000000000001E-2</c:v>
              </c:pt>
            </c:numLit>
          </c:yVal>
          <c:smooth val="0"/>
          <c:extLst>
            <c:ext xmlns:c16="http://schemas.microsoft.com/office/drawing/2014/chart" uri="{C3380CC4-5D6E-409C-BE32-E72D297353CC}">
              <c16:uniqueId val="{00000019-F2A4-4771-B283-62B984B09AA6}"/>
            </c:ext>
          </c:extLst>
        </c:ser>
        <c:ser>
          <c:idx val="11"/>
          <c:order val="11"/>
          <c:tx>
            <c:v>冷房時系統全体の排気 - 顕熱交換機排気側</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0"/>
              <c:layout>
                <c:manualLayout>
                  <c:x val="-2.2569444444444507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⑫</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25.224198807157059</c:v>
              </c:pt>
              <c:pt idx="1">
                <c:v>34.12293926441351</c:v>
              </c:pt>
            </c:numLit>
          </c:xVal>
          <c:yVal>
            <c:numLit>
              <c:formatCode>General</c:formatCode>
              <c:ptCount val="2"/>
              <c:pt idx="0">
                <c:v>1.0489999999999999E-2</c:v>
              </c:pt>
              <c:pt idx="1">
                <c:v>1.0500000000000001E-2</c:v>
              </c:pt>
            </c:numLit>
          </c:yVal>
          <c:smooth val="0"/>
          <c:extLst>
            <c:ext xmlns:c16="http://schemas.microsoft.com/office/drawing/2014/chart" uri="{C3380CC4-5D6E-409C-BE32-E72D297353CC}">
              <c16:uniqueId val="{0000001C-F2A4-4771-B283-62B984B09AA6}"/>
            </c:ext>
          </c:extLst>
        </c:ser>
        <c:ser>
          <c:idx val="12"/>
          <c:order val="12"/>
          <c:tx>
            <c:v>冷房時予冷後外気 - 理論除湿限界 - 再生コイル出口</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8.6805555555555559E-3"/>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A</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17.611473083499007</c:v>
              </c:pt>
              <c:pt idx="1">
                <c:v>37.515120461232605</c:v>
              </c:pt>
              <c:pt idx="2">
                <c:v>53.022865904572569</c:v>
              </c:pt>
            </c:numLit>
          </c:xVal>
          <c:yVal>
            <c:numLit>
              <c:formatCode>General</c:formatCode>
              <c:ptCount val="3"/>
              <c:pt idx="0">
                <c:v>1.2330000000000001E-2</c:v>
              </c:pt>
              <c:pt idx="1">
                <c:v>4.6899999999999997E-3</c:v>
              </c:pt>
              <c:pt idx="2">
                <c:v>1.0500000000000001E-2</c:v>
              </c:pt>
            </c:numLit>
          </c:yVal>
          <c:smooth val="0"/>
          <c:extLst>
            <c:ext xmlns:c16="http://schemas.microsoft.com/office/drawing/2014/chart" uri="{C3380CC4-5D6E-409C-BE32-E72D297353CC}">
              <c16:uniqueId val="{0000001E-F2A4-4771-B283-62B984B09AA6}"/>
            </c:ext>
          </c:extLst>
        </c:ser>
        <c:ser>
          <c:idx val="13"/>
          <c:order val="13"/>
          <c:tx>
            <c:v>外気-予熱コイル出口(暖房)</c:v>
          </c:tx>
          <c:spPr>
            <a:ln w="25400">
              <a:solidFill>
                <a:srgbClr val="FF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⑬</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2A4-4771-B283-62B984B09AA6}"/>
                </c:ext>
              </c:extLst>
            </c:dLbl>
            <c:dLbl>
              <c:idx val="2"/>
              <c:layout>
                <c:manualLayout>
                  <c:x val="-8.6805555555555559E-3"/>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⑭</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1.8343379721669981</c:v>
              </c:pt>
              <c:pt idx="1">
                <c:v>1.8343379721669981</c:v>
              </c:pt>
              <c:pt idx="2">
                <c:v>41.937876739562626</c:v>
              </c:pt>
            </c:numLit>
          </c:xVal>
          <c:yVal>
            <c:numLit>
              <c:formatCode>General</c:formatCode>
              <c:ptCount val="3"/>
              <c:pt idx="0">
                <c:v>1.4E-3</c:v>
              </c:pt>
              <c:pt idx="1">
                <c:v>1.4E-3</c:v>
              </c:pt>
              <c:pt idx="2">
                <c:v>1.4E-3</c:v>
              </c:pt>
            </c:numLit>
          </c:yVal>
          <c:smooth val="0"/>
          <c:extLst>
            <c:ext xmlns:c16="http://schemas.microsoft.com/office/drawing/2014/chart" uri="{C3380CC4-5D6E-409C-BE32-E72D297353CC}">
              <c16:uniqueId val="{00000020-F2A4-4771-B283-62B984B09AA6}"/>
            </c:ext>
          </c:extLst>
        </c:ser>
        <c:ser>
          <c:idx val="14"/>
          <c:order val="14"/>
          <c:tx>
            <c:v>デシカントロータによる状態変化(暖房)</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61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⑮</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41.937876739562626</c:v>
              </c:pt>
              <c:pt idx="1">
                <c:v>31.84221431411531</c:v>
              </c:pt>
            </c:numLit>
          </c:xVal>
          <c:yVal>
            <c:numLit>
              <c:formatCode>General</c:formatCode>
              <c:ptCount val="2"/>
              <c:pt idx="0">
                <c:v>1.4E-3</c:v>
              </c:pt>
              <c:pt idx="1">
                <c:v>2.5100000000000001E-3</c:v>
              </c:pt>
            </c:numLit>
          </c:yVal>
          <c:smooth val="0"/>
          <c:extLst>
            <c:ext xmlns:c16="http://schemas.microsoft.com/office/drawing/2014/chart" uri="{C3380CC4-5D6E-409C-BE32-E72D297353CC}">
              <c16:uniqueId val="{00000023-F2A4-4771-B283-62B984B09AA6}"/>
            </c:ext>
          </c:extLst>
        </c:ser>
        <c:ser>
          <c:idx val="15"/>
          <c:order val="15"/>
          <c:tx>
            <c:v>加湿器による状態変化(暖房)</c:v>
          </c:tx>
          <c:spPr>
            <a:ln w="25400">
              <a:solidFill>
                <a:srgbClr val="FF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⑯</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31.84221431411531</c:v>
              </c:pt>
              <c:pt idx="1">
                <c:v>21.44364736779324</c:v>
              </c:pt>
            </c:numLit>
          </c:xVal>
          <c:yVal>
            <c:numLit>
              <c:formatCode>General</c:formatCode>
              <c:ptCount val="2"/>
              <c:pt idx="0">
                <c:v>2.5100000000000001E-3</c:v>
              </c:pt>
              <c:pt idx="1">
                <c:v>6.5900000000000004E-3</c:v>
              </c:pt>
            </c:numLit>
          </c:yVal>
          <c:smooth val="0"/>
          <c:extLst>
            <c:ext xmlns:c16="http://schemas.microsoft.com/office/drawing/2014/chart" uri="{C3380CC4-5D6E-409C-BE32-E72D297353CC}">
              <c16:uniqueId val="{00000025-F2A4-4771-B283-62B984B09AA6}"/>
            </c:ext>
          </c:extLst>
        </c:ser>
        <c:ser>
          <c:idx val="16"/>
          <c:order val="16"/>
          <c:tx>
            <c:v>暖房外気処理ポイント→ドライコイル入口ポイント</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5.4861108462015791E-3"/>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⑰</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21.44364736779324</c:v>
              </c:pt>
              <c:pt idx="1">
                <c:v>21.463891053677933</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27-F2A4-4771-B283-62B984B09AA6}"/>
            </c:ext>
          </c:extLst>
        </c:ser>
        <c:ser>
          <c:idx val="17"/>
          <c:order val="17"/>
          <c:tx>
            <c:v>暖房ドライコイルユニット空気線図</c:v>
          </c:tx>
          <c:spPr>
            <a:ln w="25400">
              <a:solidFill>
                <a:srgbClr val="FF00FF"/>
              </a:solidFill>
              <a:prstDash val="sysDash"/>
            </a:ln>
          </c:spPr>
          <c:marker>
            <c:symbol val="circle"/>
            <c:size val="6"/>
            <c:spPr>
              <a:solidFill>
                <a:srgbClr val="FFFFFF"/>
              </a:solidFill>
              <a:ln>
                <a:solidFill>
                  <a:srgbClr val="000000"/>
                </a:solidFill>
                <a:prstDash val="solid"/>
              </a:ln>
            </c:spPr>
          </c:marker>
          <c:dLbls>
            <c:dLbl>
              <c:idx val="1"/>
              <c:layout>
                <c:manualLayout>
                  <c:x val="-2.2569444444444444E-2"/>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⑱</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21.463891053677933</c:v>
              </c:pt>
              <c:pt idx="1">
                <c:v>29.682827522862826</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29-F2A4-4771-B283-62B984B09AA6}"/>
            </c:ext>
          </c:extLst>
        </c:ser>
        <c:ser>
          <c:idx val="18"/>
          <c:order val="18"/>
          <c:tx>
            <c:v>暖房還気ポイント→ドライコイル入口ポイント</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0"/>
              <c:layout>
                <c:manualLayout>
                  <c:x val="1.1875000264909532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⑲</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21.463891053677933</c:v>
              </c:pt>
              <c:pt idx="1">
                <c:v>21.463891053677933</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2B-F2A4-4771-B283-62B984B09AA6}"/>
            </c:ext>
          </c:extLst>
        </c:ser>
        <c:ser>
          <c:idx val="19"/>
          <c:order val="19"/>
          <c:tx>
            <c:v>暖房排気 - 理論除湿限界ポイント - 予熱コイル出口</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2.0047845581802275E-2"/>
                  <c:y val="-1.5669334656024605E-16"/>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B</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2A4-4771-B283-62B984B09A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21.463891053677933</c:v>
              </c:pt>
              <c:pt idx="1">
                <c:v>36.063649765407554</c:v>
              </c:pt>
              <c:pt idx="2">
                <c:v>41.937876739562626</c:v>
              </c:pt>
            </c:numLit>
          </c:xVal>
          <c:yVal>
            <c:numLit>
              <c:formatCode>General</c:formatCode>
              <c:ptCount val="3"/>
              <c:pt idx="0">
                <c:v>6.5900000000000004E-3</c:v>
              </c:pt>
              <c:pt idx="1">
                <c:v>1.0200000000000001E-3</c:v>
              </c:pt>
              <c:pt idx="2">
                <c:v>1.4E-3</c:v>
              </c:pt>
            </c:numLit>
          </c:yVal>
          <c:smooth val="0"/>
          <c:extLst>
            <c:ext xmlns:c16="http://schemas.microsoft.com/office/drawing/2014/chart" uri="{C3380CC4-5D6E-409C-BE32-E72D297353CC}">
              <c16:uniqueId val="{0000002D-F2A4-4771-B283-62B984B09AA6}"/>
            </c:ext>
          </c:extLst>
        </c:ser>
        <c:dLbls>
          <c:showLegendKey val="0"/>
          <c:showVal val="0"/>
          <c:showCatName val="0"/>
          <c:showSerName val="0"/>
          <c:showPercent val="0"/>
          <c:showBubbleSize val="0"/>
        </c:dLbls>
        <c:axId val="358253584"/>
        <c:axId val="358251624"/>
      </c:scatterChart>
      <c:valAx>
        <c:axId val="358253584"/>
        <c:scaling>
          <c:orientation val="minMax"/>
          <c:max val="66.8"/>
          <c:min val="-10.226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226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1314450</xdr:colOff>
      <xdr:row>4</xdr:row>
      <xdr:rowOff>228600</xdr:rowOff>
    </xdr:from>
    <xdr:ext cx="4090626" cy="868956"/>
    <xdr:sp macro="" textlink="">
      <xdr:nvSpPr>
        <xdr:cNvPr id="2"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33400" y="857250"/>
          <a:ext cx="4090626" cy="868956"/>
        </a:xfrm>
        <a:prstGeom prst="rect">
          <a:avLst/>
        </a:prstGeom>
        <a:pattFill prst="ltHorz">
          <a:fgClr>
            <a:srgbClr val="DDDDDD"/>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none" lIns="180000" tIns="18288" rIns="180000" bIns="0" anchor="ctr" anchorCtr="0" upright="1">
          <a:spAutoFit/>
        </a:bodyPr>
        <a:lstStyle/>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印刷するときはまず最初に表紙だけを選択して印刷し、</a:t>
          </a:r>
        </a:p>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次に表紙以外のすべてのシートをまとめて選択して印刷してください。</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この様にすると、表紙はﾍﾟｰｼﾞ数から除外できます。</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また、この注釈は印刷されません。</a:t>
          </a: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0</xdr:colOff>
      <xdr:row>28</xdr:row>
      <xdr:rowOff>0</xdr:rowOff>
    </xdr:to>
    <xdr:grpSp>
      <xdr:nvGrpSpPr>
        <xdr:cNvPr id="2" name="グループ化 1">
          <a:extLst>
            <a:ext uri="{FF2B5EF4-FFF2-40B4-BE49-F238E27FC236}">
              <a16:creationId xmlns:a16="http://schemas.microsoft.com/office/drawing/2014/main" id="{B97BF8A9-DE89-4556-9689-7C1D883FAC27}"/>
            </a:ext>
          </a:extLst>
        </xdr:cNvPr>
        <xdr:cNvGrpSpPr/>
      </xdr:nvGrpSpPr>
      <xdr:grpSpPr>
        <a:xfrm>
          <a:off x="0" y="352425"/>
          <a:ext cx="7315200" cy="5943600"/>
          <a:chOff x="0" y="352425"/>
          <a:chExt cx="7315200" cy="5943600"/>
        </a:xfrm>
      </xdr:grpSpPr>
      <xdr:graphicFrame macro="">
        <xdr:nvGraphicFramePr>
          <xdr:cNvPr id="3" name="HXC_V1_LA7">
            <a:extLst>
              <a:ext uri="{FF2B5EF4-FFF2-40B4-BE49-F238E27FC236}">
                <a16:creationId xmlns:a16="http://schemas.microsoft.com/office/drawing/2014/main" id="{AB80A958-C4CF-4FFC-9F06-5E97018A7949}"/>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HXC_V1_LA6">
            <a:extLst>
              <a:ext uri="{FF2B5EF4-FFF2-40B4-BE49-F238E27FC236}">
                <a16:creationId xmlns:a16="http://schemas.microsoft.com/office/drawing/2014/main" id="{B5B19713-DAA6-47CC-8067-93ED539D175D}"/>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HXC_V1_LA5">
            <a:extLst>
              <a:ext uri="{FF2B5EF4-FFF2-40B4-BE49-F238E27FC236}">
                <a16:creationId xmlns:a16="http://schemas.microsoft.com/office/drawing/2014/main" id="{8019058D-B475-4CCA-BDD7-5F05730DEF6F}"/>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HXC_V1_LA4">
            <a:extLst>
              <a:ext uri="{FF2B5EF4-FFF2-40B4-BE49-F238E27FC236}">
                <a16:creationId xmlns:a16="http://schemas.microsoft.com/office/drawing/2014/main" id="{A9616482-BC91-49E1-AFF5-E18EA4C41CDA}"/>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HXC_V1_LA3">
            <a:extLst>
              <a:ext uri="{FF2B5EF4-FFF2-40B4-BE49-F238E27FC236}">
                <a16:creationId xmlns:a16="http://schemas.microsoft.com/office/drawing/2014/main" id="{4E3B91D7-722F-43D5-B69F-31C7958C2850}"/>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HXC_V1_LA2">
            <a:extLst>
              <a:ext uri="{FF2B5EF4-FFF2-40B4-BE49-F238E27FC236}">
                <a16:creationId xmlns:a16="http://schemas.microsoft.com/office/drawing/2014/main" id="{AB7FE241-C849-4C9B-8C37-9C04506B4AA3}"/>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HXC_V1_LA1">
            <a:extLst>
              <a:ext uri="{FF2B5EF4-FFF2-40B4-BE49-F238E27FC236}">
                <a16:creationId xmlns:a16="http://schemas.microsoft.com/office/drawing/2014/main" id="{C3127A2A-D23D-4923-B244-83CBAF5C506D}"/>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HXC_V1_LA0">
            <a:extLst>
              <a:ext uri="{FF2B5EF4-FFF2-40B4-BE49-F238E27FC236}">
                <a16:creationId xmlns:a16="http://schemas.microsoft.com/office/drawing/2014/main" id="{CAD1DCD8-88AD-47C2-8E39-A0E85A6AB39C}"/>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9</xdr:row>
      <xdr:rowOff>0</xdr:rowOff>
    </xdr:from>
    <xdr:ext cx="4433455" cy="3013364"/>
    <xdr:sp macro="" textlink="">
      <xdr:nvSpPr>
        <xdr:cNvPr id="2" name="建屋1">
          <a:extLst>
            <a:ext uri="{FF2B5EF4-FFF2-40B4-BE49-F238E27FC236}">
              <a16:creationId xmlns:a16="http://schemas.microsoft.com/office/drawing/2014/main" id="{DA4FC087-9A8E-4AE0-BA00-DB439B2EE26F}"/>
            </a:ext>
          </a:extLst>
        </xdr:cNvPr>
        <xdr:cNvSpPr>
          <a:spLocks noChangeArrowheads="1"/>
        </xdr:cNvSpPr>
      </xdr:nvSpPr>
      <xdr:spPr bwMode="auto">
        <a:xfrm rot="1200000">
          <a:off x="1714500" y="2381250"/>
          <a:ext cx="4433455" cy="3013364"/>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6</xdr:col>
      <xdr:colOff>545911</xdr:colOff>
      <xdr:row>7</xdr:row>
      <xdr:rowOff>160714</xdr:rowOff>
    </xdr:from>
    <xdr:ext cx="401782" cy="171450"/>
    <xdr:sp macro="" textlink="">
      <xdr:nvSpPr>
        <xdr:cNvPr id="3" name="北面1">
          <a:extLst>
            <a:ext uri="{FF2B5EF4-FFF2-40B4-BE49-F238E27FC236}">
              <a16:creationId xmlns:a16="http://schemas.microsoft.com/office/drawing/2014/main" id="{B070C84B-8A46-47FA-9272-3D51ED7B4CEB}"/>
            </a:ext>
          </a:extLst>
        </xdr:cNvPr>
        <xdr:cNvSpPr txBox="1">
          <a:spLocks noChangeArrowheads="1"/>
        </xdr:cNvSpPr>
      </xdr:nvSpPr>
      <xdr:spPr bwMode="auto">
        <a:xfrm>
          <a:off x="3917761" y="2046664"/>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N</a:t>
          </a:r>
          <a:endParaRPr lang="ja-JP" altLang="en-US" sz="1200" b="1"/>
        </a:p>
      </xdr:txBody>
    </xdr:sp>
    <xdr:clientData/>
  </xdr:oneCellAnchor>
  <xdr:oneCellAnchor>
    <xdr:from>
      <xdr:col>11</xdr:col>
      <xdr:colOff>134170</xdr:colOff>
      <xdr:row>16</xdr:row>
      <xdr:rowOff>229383</xdr:rowOff>
    </xdr:from>
    <xdr:ext cx="400050" cy="174914"/>
    <xdr:sp macro="" textlink="">
      <xdr:nvSpPr>
        <xdr:cNvPr id="4" name="東面1">
          <a:extLst>
            <a:ext uri="{FF2B5EF4-FFF2-40B4-BE49-F238E27FC236}">
              <a16:creationId xmlns:a16="http://schemas.microsoft.com/office/drawing/2014/main" id="{1533990B-06B6-43DC-87C2-41F0B9E10653}"/>
            </a:ext>
          </a:extLst>
        </xdr:cNvPr>
        <xdr:cNvSpPr txBox="1">
          <a:spLocks noChangeArrowheads="1"/>
        </xdr:cNvSpPr>
      </xdr:nvSpPr>
      <xdr:spPr bwMode="auto">
        <a:xfrm>
          <a:off x="6268270" y="4344183"/>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oneCellAnchor>
    <xdr:from>
      <xdr:col>6</xdr:col>
      <xdr:colOff>171062</xdr:colOff>
      <xdr:row>21</xdr:row>
      <xdr:rowOff>204700</xdr:rowOff>
    </xdr:from>
    <xdr:ext cx="400050" cy="174913"/>
    <xdr:sp macro="" textlink="">
      <xdr:nvSpPr>
        <xdr:cNvPr id="5" name="南面1">
          <a:extLst>
            <a:ext uri="{FF2B5EF4-FFF2-40B4-BE49-F238E27FC236}">
              <a16:creationId xmlns:a16="http://schemas.microsoft.com/office/drawing/2014/main" id="{8097C7D5-794A-414D-B0E5-B7D04DB2A0CE}"/>
            </a:ext>
          </a:extLst>
        </xdr:cNvPr>
        <xdr:cNvSpPr txBox="1">
          <a:spLocks noChangeArrowheads="1"/>
        </xdr:cNvSpPr>
      </xdr:nvSpPr>
      <xdr:spPr bwMode="auto">
        <a:xfrm>
          <a:off x="3542912" y="5557750"/>
          <a:ext cx="400050" cy="17491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2</xdr:col>
      <xdr:colOff>30353</xdr:colOff>
      <xdr:row>12</xdr:row>
      <xdr:rowOff>132566</xdr:rowOff>
    </xdr:from>
    <xdr:ext cx="401782" cy="171450"/>
    <xdr:sp macro="" textlink="">
      <xdr:nvSpPr>
        <xdr:cNvPr id="6" name="西面1">
          <a:extLst>
            <a:ext uri="{FF2B5EF4-FFF2-40B4-BE49-F238E27FC236}">
              <a16:creationId xmlns:a16="http://schemas.microsoft.com/office/drawing/2014/main" id="{F79B3B53-4131-454B-BC63-F0D03FBC6EE3}"/>
            </a:ext>
          </a:extLst>
        </xdr:cNvPr>
        <xdr:cNvSpPr txBox="1">
          <a:spLocks noChangeArrowheads="1"/>
        </xdr:cNvSpPr>
      </xdr:nvSpPr>
      <xdr:spPr bwMode="auto">
        <a:xfrm>
          <a:off x="1192403" y="3256766"/>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W</a:t>
          </a:r>
        </a:p>
      </xdr:txBody>
    </xdr:sp>
    <xdr:clientData/>
  </xdr:oneCellAnchor>
  <xdr:oneCellAnchor>
    <xdr:from>
      <xdr:col>7</xdr:col>
      <xdr:colOff>0</xdr:colOff>
      <xdr:row>8</xdr:row>
      <xdr:rowOff>0</xdr:rowOff>
    </xdr:from>
    <xdr:ext cx="0" cy="3515591"/>
    <xdr:sp macro="" textlink="">
      <xdr:nvSpPr>
        <xdr:cNvPr id="7" name="垂直線21">
          <a:extLst>
            <a:ext uri="{FF2B5EF4-FFF2-40B4-BE49-F238E27FC236}">
              <a16:creationId xmlns:a16="http://schemas.microsoft.com/office/drawing/2014/main" id="{811636EB-D196-4190-9A81-4FC62E5845A8}"/>
            </a:ext>
          </a:extLst>
        </xdr:cNvPr>
        <xdr:cNvSpPr>
          <a:spLocks noChangeShapeType="1"/>
        </xdr:cNvSpPr>
      </xdr:nvSpPr>
      <xdr:spPr bwMode="auto">
        <a:xfrm rot="1200000" flipV="1">
          <a:off x="3924300" y="2133600"/>
          <a:ext cx="0" cy="3515591"/>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xdr:col>
      <xdr:colOff>0</xdr:colOff>
      <xdr:row>15</xdr:row>
      <xdr:rowOff>0</xdr:rowOff>
    </xdr:from>
    <xdr:ext cx="5541818" cy="0"/>
    <xdr:sp macro="" textlink="">
      <xdr:nvSpPr>
        <xdr:cNvPr id="8" name="水平線21">
          <a:extLst>
            <a:ext uri="{FF2B5EF4-FFF2-40B4-BE49-F238E27FC236}">
              <a16:creationId xmlns:a16="http://schemas.microsoft.com/office/drawing/2014/main" id="{C6D15A4A-FA5B-4512-BF36-E361F9DDC883}"/>
            </a:ext>
          </a:extLst>
        </xdr:cNvPr>
        <xdr:cNvSpPr>
          <a:spLocks noChangeShapeType="1"/>
        </xdr:cNvSpPr>
      </xdr:nvSpPr>
      <xdr:spPr bwMode="auto">
        <a:xfrm rot="1200000">
          <a:off x="1162050" y="3867150"/>
          <a:ext cx="5541818"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xdr:col>
      <xdr:colOff>507276</xdr:colOff>
      <xdr:row>9</xdr:row>
      <xdr:rowOff>0</xdr:rowOff>
    </xdr:from>
    <xdr:ext cx="4419600" cy="2971800"/>
    <xdr:sp macro="" textlink="">
      <xdr:nvSpPr>
        <xdr:cNvPr id="9" name="建屋2">
          <a:extLst>
            <a:ext uri="{FF2B5EF4-FFF2-40B4-BE49-F238E27FC236}">
              <a16:creationId xmlns:a16="http://schemas.microsoft.com/office/drawing/2014/main" id="{DE89F4C1-8E3E-4386-8407-303F09368310}"/>
            </a:ext>
          </a:extLst>
        </xdr:cNvPr>
        <xdr:cNvSpPr>
          <a:spLocks noChangeArrowheads="1"/>
        </xdr:cNvSpPr>
      </xdr:nvSpPr>
      <xdr:spPr bwMode="auto">
        <a:xfrm rot="1200000">
          <a:off x="9517926" y="2381250"/>
          <a:ext cx="4419600" cy="2971800"/>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20</xdr:col>
      <xdr:colOff>488434</xdr:colOff>
      <xdr:row>7</xdr:row>
      <xdr:rowOff>159461</xdr:rowOff>
    </xdr:from>
    <xdr:ext cx="400050" cy="171450"/>
    <xdr:sp macro="" textlink="">
      <xdr:nvSpPr>
        <xdr:cNvPr id="10" name="北面2">
          <a:extLst>
            <a:ext uri="{FF2B5EF4-FFF2-40B4-BE49-F238E27FC236}">
              <a16:creationId xmlns:a16="http://schemas.microsoft.com/office/drawing/2014/main" id="{5272F6F0-C032-4D53-AE84-279E8DCE545D}"/>
            </a:ext>
          </a:extLst>
        </xdr:cNvPr>
        <xdr:cNvSpPr txBox="1">
          <a:spLocks noChangeArrowheads="1"/>
        </xdr:cNvSpPr>
      </xdr:nvSpPr>
      <xdr:spPr bwMode="auto">
        <a:xfrm>
          <a:off x="11708884" y="2045411"/>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N</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126068</xdr:colOff>
      <xdr:row>21</xdr:row>
      <xdr:rowOff>164389</xdr:rowOff>
    </xdr:from>
    <xdr:ext cx="400050" cy="171450"/>
    <xdr:sp macro="" textlink="">
      <xdr:nvSpPr>
        <xdr:cNvPr id="11" name="南面2">
          <a:extLst>
            <a:ext uri="{FF2B5EF4-FFF2-40B4-BE49-F238E27FC236}">
              <a16:creationId xmlns:a16="http://schemas.microsoft.com/office/drawing/2014/main" id="{009E5DFB-1170-4C55-94C0-A79073A51874}"/>
            </a:ext>
          </a:extLst>
        </xdr:cNvPr>
        <xdr:cNvSpPr txBox="1">
          <a:spLocks noChangeArrowheads="1"/>
        </xdr:cNvSpPr>
      </xdr:nvSpPr>
      <xdr:spPr bwMode="auto">
        <a:xfrm>
          <a:off x="11346518" y="5517439"/>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15</xdr:col>
      <xdr:colOff>538943</xdr:colOff>
      <xdr:row>12</xdr:row>
      <xdr:rowOff>114154</xdr:rowOff>
    </xdr:from>
    <xdr:ext cx="400050" cy="171450"/>
    <xdr:sp macro="" textlink="">
      <xdr:nvSpPr>
        <xdr:cNvPr id="12" name="西面2">
          <a:extLst>
            <a:ext uri="{FF2B5EF4-FFF2-40B4-BE49-F238E27FC236}">
              <a16:creationId xmlns:a16="http://schemas.microsoft.com/office/drawing/2014/main" id="{143032AF-9754-419A-8AFE-0856ABAD9F77}"/>
            </a:ext>
          </a:extLst>
        </xdr:cNvPr>
        <xdr:cNvSpPr txBox="1">
          <a:spLocks noChangeArrowheads="1"/>
        </xdr:cNvSpPr>
      </xdr:nvSpPr>
      <xdr:spPr bwMode="auto">
        <a:xfrm>
          <a:off x="8997143" y="3238354"/>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W</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498472</xdr:colOff>
      <xdr:row>8</xdr:row>
      <xdr:rowOff>0</xdr:rowOff>
    </xdr:from>
    <xdr:ext cx="0" cy="3467100"/>
    <xdr:sp macro="" textlink="">
      <xdr:nvSpPr>
        <xdr:cNvPr id="13" name="垂直線22">
          <a:extLst>
            <a:ext uri="{FF2B5EF4-FFF2-40B4-BE49-F238E27FC236}">
              <a16:creationId xmlns:a16="http://schemas.microsoft.com/office/drawing/2014/main" id="{9E3C6ACE-2E6C-4329-A618-FDBFB35D4F25}"/>
            </a:ext>
          </a:extLst>
        </xdr:cNvPr>
        <xdr:cNvSpPr>
          <a:spLocks noChangeShapeType="1"/>
        </xdr:cNvSpPr>
      </xdr:nvSpPr>
      <xdr:spPr bwMode="auto">
        <a:xfrm rot="1200000" flipV="1">
          <a:off x="11718922" y="2133600"/>
          <a:ext cx="0" cy="346710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xdr:col>
      <xdr:colOff>373380</xdr:colOff>
      <xdr:row>27</xdr:row>
      <xdr:rowOff>57150</xdr:rowOff>
    </xdr:from>
    <xdr:ext cx="266700" cy="180975"/>
    <xdr:sp macro="" textlink="">
      <xdr:nvSpPr>
        <xdr:cNvPr id="14" name="Text Box 13">
          <a:extLst>
            <a:ext uri="{FF2B5EF4-FFF2-40B4-BE49-F238E27FC236}">
              <a16:creationId xmlns:a16="http://schemas.microsoft.com/office/drawing/2014/main" id="{DD2DAD48-F63C-4AE2-8083-9F4742A6A9A8}"/>
            </a:ext>
          </a:extLst>
        </xdr:cNvPr>
        <xdr:cNvSpPr txBox="1">
          <a:spLocks noChangeArrowheads="1"/>
        </xdr:cNvSpPr>
      </xdr:nvSpPr>
      <xdr:spPr bwMode="auto">
        <a:xfrm>
          <a:off x="11593830" y="6896100"/>
          <a:ext cx="2667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endParaRPr lang="ja-JP" altLang="en-US" sz="1200"/>
        </a:p>
      </xdr:txBody>
    </xdr:sp>
    <xdr:clientData/>
  </xdr:oneCellAnchor>
  <xdr:oneCellAnchor>
    <xdr:from>
      <xdr:col>16</xdr:col>
      <xdr:colOff>0</xdr:colOff>
      <xdr:row>14</xdr:row>
      <xdr:rowOff>236220</xdr:rowOff>
    </xdr:from>
    <xdr:ext cx="5524500" cy="0"/>
    <xdr:sp macro="" textlink="">
      <xdr:nvSpPr>
        <xdr:cNvPr id="15" name="水平線22">
          <a:extLst>
            <a:ext uri="{FF2B5EF4-FFF2-40B4-BE49-F238E27FC236}">
              <a16:creationId xmlns:a16="http://schemas.microsoft.com/office/drawing/2014/main" id="{D0A43D66-1D05-43B7-B38F-1D8EA79A005B}"/>
            </a:ext>
          </a:extLst>
        </xdr:cNvPr>
        <xdr:cNvSpPr>
          <a:spLocks noChangeShapeType="1"/>
        </xdr:cNvSpPr>
      </xdr:nvSpPr>
      <xdr:spPr bwMode="auto">
        <a:xfrm rot="1200000">
          <a:off x="9010650" y="3855720"/>
          <a:ext cx="5524500"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6</xdr:col>
      <xdr:colOff>428169</xdr:colOff>
      <xdr:row>27</xdr:row>
      <xdr:rowOff>53541</xdr:rowOff>
    </xdr:from>
    <xdr:to>
      <xdr:col>7</xdr:col>
      <xdr:colOff>143216</xdr:colOff>
      <xdr:row>27</xdr:row>
      <xdr:rowOff>238125</xdr:rowOff>
    </xdr:to>
    <xdr:sp macro="" textlink="">
      <xdr:nvSpPr>
        <xdr:cNvPr id="16" name="Text Box 13">
          <a:extLst>
            <a:ext uri="{FF2B5EF4-FFF2-40B4-BE49-F238E27FC236}">
              <a16:creationId xmlns:a16="http://schemas.microsoft.com/office/drawing/2014/main" id="{BDE5A14E-EC92-4EEA-B8ED-A79B5DF2BE32}"/>
            </a:ext>
          </a:extLst>
        </xdr:cNvPr>
        <xdr:cNvSpPr txBox="1">
          <a:spLocks noChangeArrowheads="1"/>
        </xdr:cNvSpPr>
      </xdr:nvSpPr>
      <xdr:spPr bwMode="auto">
        <a:xfrm>
          <a:off x="3800019" y="6892491"/>
          <a:ext cx="267497"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12</xdr:col>
      <xdr:colOff>257813</xdr:colOff>
      <xdr:row>14</xdr:row>
      <xdr:rowOff>142852</xdr:rowOff>
    </xdr:from>
    <xdr:to>
      <xdr:col>12</xdr:col>
      <xdr:colOff>523875</xdr:colOff>
      <xdr:row>15</xdr:row>
      <xdr:rowOff>74702</xdr:rowOff>
    </xdr:to>
    <xdr:sp macro="" textlink="">
      <xdr:nvSpPr>
        <xdr:cNvPr id="17" name="Text Box 14">
          <a:extLst>
            <a:ext uri="{FF2B5EF4-FFF2-40B4-BE49-F238E27FC236}">
              <a16:creationId xmlns:a16="http://schemas.microsoft.com/office/drawing/2014/main" id="{788461F0-83F9-427B-8722-90085D5283AA}"/>
            </a:ext>
          </a:extLst>
        </xdr:cNvPr>
        <xdr:cNvSpPr txBox="1">
          <a:spLocks noChangeArrowheads="1"/>
        </xdr:cNvSpPr>
      </xdr:nvSpPr>
      <xdr:spPr bwMode="auto">
        <a:xfrm>
          <a:off x="6944363" y="376235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xdr:col>
      <xdr:colOff>0</xdr:colOff>
      <xdr:row>14</xdr:row>
      <xdr:rowOff>162282</xdr:rowOff>
    </xdr:from>
    <xdr:to>
      <xdr:col>1</xdr:col>
      <xdr:colOff>266062</xdr:colOff>
      <xdr:row>15</xdr:row>
      <xdr:rowOff>94132</xdr:rowOff>
    </xdr:to>
    <xdr:sp macro="" textlink="">
      <xdr:nvSpPr>
        <xdr:cNvPr id="18" name="Text Box 15">
          <a:extLst>
            <a:ext uri="{FF2B5EF4-FFF2-40B4-BE49-F238E27FC236}">
              <a16:creationId xmlns:a16="http://schemas.microsoft.com/office/drawing/2014/main" id="{1078A2C1-DBAE-475D-9B57-E2ABF5C0E9BF}"/>
            </a:ext>
          </a:extLst>
        </xdr:cNvPr>
        <xdr:cNvSpPr txBox="1">
          <a:spLocks noChangeArrowheads="1"/>
        </xdr:cNvSpPr>
      </xdr:nvSpPr>
      <xdr:spPr bwMode="auto">
        <a:xfrm>
          <a:off x="609600" y="378178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6</xdr:col>
      <xdr:colOff>407264</xdr:colOff>
      <xdr:row>2</xdr:row>
      <xdr:rowOff>57150</xdr:rowOff>
    </xdr:from>
    <xdr:to>
      <xdr:col>7</xdr:col>
      <xdr:colOff>141316</xdr:colOff>
      <xdr:row>2</xdr:row>
      <xdr:rowOff>241734</xdr:rowOff>
    </xdr:to>
    <xdr:sp macro="" textlink="">
      <xdr:nvSpPr>
        <xdr:cNvPr id="19" name="Text Box 16">
          <a:extLst>
            <a:ext uri="{FF2B5EF4-FFF2-40B4-BE49-F238E27FC236}">
              <a16:creationId xmlns:a16="http://schemas.microsoft.com/office/drawing/2014/main" id="{1634AD5F-187D-40AE-8AE6-9A67078B1C6B}"/>
            </a:ext>
          </a:extLst>
        </xdr:cNvPr>
        <xdr:cNvSpPr txBox="1">
          <a:spLocks noChangeArrowheads="1"/>
        </xdr:cNvSpPr>
      </xdr:nvSpPr>
      <xdr:spPr bwMode="auto">
        <a:xfrm>
          <a:off x="3779114" y="704850"/>
          <a:ext cx="286502"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6</xdr:col>
      <xdr:colOff>442423</xdr:colOff>
      <xdr:row>2</xdr:row>
      <xdr:rowOff>241734</xdr:rowOff>
    </xdr:from>
    <xdr:to>
      <xdr:col>7</xdr:col>
      <xdr:colOff>683</xdr:colOff>
      <xdr:row>4</xdr:row>
      <xdr:rowOff>124865</xdr:rowOff>
    </xdr:to>
    <xdr:cxnSp macro="">
      <xdr:nvCxnSpPr>
        <xdr:cNvPr id="20" name="直線コネクタ 19">
          <a:extLst>
            <a:ext uri="{FF2B5EF4-FFF2-40B4-BE49-F238E27FC236}">
              <a16:creationId xmlns:a16="http://schemas.microsoft.com/office/drawing/2014/main" id="{6D549D02-D8B1-4683-B850-19444C20CE38}"/>
            </a:ext>
          </a:extLst>
        </xdr:cNvPr>
        <xdr:cNvCxnSpPr/>
      </xdr:nvCxnSpPr>
      <xdr:spPr bwMode="auto">
        <a:xfrm flipH="1">
          <a:off x="3814273" y="889434"/>
          <a:ext cx="110710"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444798</xdr:colOff>
      <xdr:row>4</xdr:row>
      <xdr:rowOff>120008</xdr:rowOff>
    </xdr:from>
    <xdr:to>
      <xdr:col>7</xdr:col>
      <xdr:colOff>5435</xdr:colOff>
      <xdr:row>4</xdr:row>
      <xdr:rowOff>214728</xdr:rowOff>
    </xdr:to>
    <xdr:cxnSp macro="">
      <xdr:nvCxnSpPr>
        <xdr:cNvPr id="21" name="直線コネクタ 20">
          <a:extLst>
            <a:ext uri="{FF2B5EF4-FFF2-40B4-BE49-F238E27FC236}">
              <a16:creationId xmlns:a16="http://schemas.microsoft.com/office/drawing/2014/main" id="{BA2E9C3A-D276-47CA-8439-5A195E922999}"/>
            </a:ext>
          </a:extLst>
        </xdr:cNvPr>
        <xdr:cNvCxnSpPr/>
      </xdr:nvCxnSpPr>
      <xdr:spPr bwMode="auto">
        <a:xfrm>
          <a:off x="3816648" y="1263008"/>
          <a:ext cx="113087"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228053</xdr:colOff>
      <xdr:row>14</xdr:row>
      <xdr:rowOff>248097</xdr:rowOff>
    </xdr:from>
    <xdr:to>
      <xdr:col>12</xdr:col>
      <xdr:colOff>286320</xdr:colOff>
      <xdr:row>14</xdr:row>
      <xdr:rowOff>248097</xdr:rowOff>
    </xdr:to>
    <xdr:sp macro="" textlink="">
      <xdr:nvSpPr>
        <xdr:cNvPr id="22" name="水平線1">
          <a:extLst>
            <a:ext uri="{FF2B5EF4-FFF2-40B4-BE49-F238E27FC236}">
              <a16:creationId xmlns:a16="http://schemas.microsoft.com/office/drawing/2014/main" id="{EFC3F13E-15AB-4895-84AD-2AD29DCD872F}"/>
            </a:ext>
          </a:extLst>
        </xdr:cNvPr>
        <xdr:cNvSpPr>
          <a:spLocks noChangeShapeType="1"/>
        </xdr:cNvSpPr>
      </xdr:nvSpPr>
      <xdr:spPr bwMode="auto">
        <a:xfrm>
          <a:off x="837653" y="3867597"/>
          <a:ext cx="6135217"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684</xdr:colOff>
      <xdr:row>2</xdr:row>
      <xdr:rowOff>249829</xdr:rowOff>
    </xdr:from>
    <xdr:to>
      <xdr:col>7</xdr:col>
      <xdr:colOff>684</xdr:colOff>
      <xdr:row>26</xdr:row>
      <xdr:rowOff>246364</xdr:rowOff>
    </xdr:to>
    <xdr:sp macro="" textlink="">
      <xdr:nvSpPr>
        <xdr:cNvPr id="23" name="垂直線1">
          <a:extLst>
            <a:ext uri="{FF2B5EF4-FFF2-40B4-BE49-F238E27FC236}">
              <a16:creationId xmlns:a16="http://schemas.microsoft.com/office/drawing/2014/main" id="{E200E7C2-EB29-4C0D-AFAB-DBDB3DA2A63F}"/>
            </a:ext>
          </a:extLst>
        </xdr:cNvPr>
        <xdr:cNvSpPr>
          <a:spLocks noChangeShapeType="1"/>
        </xdr:cNvSpPr>
      </xdr:nvSpPr>
      <xdr:spPr bwMode="auto">
        <a:xfrm>
          <a:off x="3924984" y="897529"/>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373675</xdr:colOff>
      <xdr:row>27</xdr:row>
      <xdr:rowOff>44016</xdr:rowOff>
    </xdr:from>
    <xdr:to>
      <xdr:col>21</xdr:col>
      <xdr:colOff>88581</xdr:colOff>
      <xdr:row>27</xdr:row>
      <xdr:rowOff>228600</xdr:rowOff>
    </xdr:to>
    <xdr:sp macro="" textlink="">
      <xdr:nvSpPr>
        <xdr:cNvPr id="24" name="Text Box 13">
          <a:extLst>
            <a:ext uri="{FF2B5EF4-FFF2-40B4-BE49-F238E27FC236}">
              <a16:creationId xmlns:a16="http://schemas.microsoft.com/office/drawing/2014/main" id="{AF5F34A7-405C-4F5F-B82A-CE2D0B40E5C3}"/>
            </a:ext>
          </a:extLst>
        </xdr:cNvPr>
        <xdr:cNvSpPr txBox="1">
          <a:spLocks noChangeArrowheads="1"/>
        </xdr:cNvSpPr>
      </xdr:nvSpPr>
      <xdr:spPr bwMode="auto">
        <a:xfrm>
          <a:off x="11594125" y="6882966"/>
          <a:ext cx="267356"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26</xdr:col>
      <xdr:colOff>201668</xdr:colOff>
      <xdr:row>14</xdr:row>
      <xdr:rowOff>133327</xdr:rowOff>
    </xdr:from>
    <xdr:to>
      <xdr:col>26</xdr:col>
      <xdr:colOff>467591</xdr:colOff>
      <xdr:row>15</xdr:row>
      <xdr:rowOff>65177</xdr:rowOff>
    </xdr:to>
    <xdr:sp macro="" textlink="">
      <xdr:nvSpPr>
        <xdr:cNvPr id="25" name="Text Box 14">
          <a:extLst>
            <a:ext uri="{FF2B5EF4-FFF2-40B4-BE49-F238E27FC236}">
              <a16:creationId xmlns:a16="http://schemas.microsoft.com/office/drawing/2014/main" id="{E09763D7-F20D-470D-B9F5-11FB78343255}"/>
            </a:ext>
          </a:extLst>
        </xdr:cNvPr>
        <xdr:cNvSpPr txBox="1">
          <a:spLocks noChangeArrowheads="1"/>
        </xdr:cNvSpPr>
      </xdr:nvSpPr>
      <xdr:spPr bwMode="auto">
        <a:xfrm>
          <a:off x="14736818" y="3752827"/>
          <a:ext cx="265923"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14</xdr:col>
      <xdr:colOff>553316</xdr:colOff>
      <xdr:row>14</xdr:row>
      <xdr:rowOff>152757</xdr:rowOff>
    </xdr:from>
    <xdr:to>
      <xdr:col>15</xdr:col>
      <xdr:colOff>213103</xdr:colOff>
      <xdr:row>15</xdr:row>
      <xdr:rowOff>84607</xdr:rowOff>
    </xdr:to>
    <xdr:sp macro="" textlink="">
      <xdr:nvSpPr>
        <xdr:cNvPr id="26" name="Text Box 15">
          <a:extLst>
            <a:ext uri="{FF2B5EF4-FFF2-40B4-BE49-F238E27FC236}">
              <a16:creationId xmlns:a16="http://schemas.microsoft.com/office/drawing/2014/main" id="{32EDFC88-22C3-4CB6-B420-98A5530CCF37}"/>
            </a:ext>
          </a:extLst>
        </xdr:cNvPr>
        <xdr:cNvSpPr txBox="1">
          <a:spLocks noChangeArrowheads="1"/>
        </xdr:cNvSpPr>
      </xdr:nvSpPr>
      <xdr:spPr bwMode="auto">
        <a:xfrm>
          <a:off x="8401916" y="3772257"/>
          <a:ext cx="269387"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20</xdr:col>
      <xdr:colOff>352781</xdr:colOff>
      <xdr:row>2</xdr:row>
      <xdr:rowOff>47625</xdr:rowOff>
    </xdr:from>
    <xdr:to>
      <xdr:col>21</xdr:col>
      <xdr:colOff>86682</xdr:colOff>
      <xdr:row>2</xdr:row>
      <xdr:rowOff>232209</xdr:rowOff>
    </xdr:to>
    <xdr:sp macro="" textlink="">
      <xdr:nvSpPr>
        <xdr:cNvPr id="27" name="Text Box 16">
          <a:extLst>
            <a:ext uri="{FF2B5EF4-FFF2-40B4-BE49-F238E27FC236}">
              <a16:creationId xmlns:a16="http://schemas.microsoft.com/office/drawing/2014/main" id="{09F363A4-73EF-48FB-8713-3148F471A5A7}"/>
            </a:ext>
          </a:extLst>
        </xdr:cNvPr>
        <xdr:cNvSpPr txBox="1">
          <a:spLocks noChangeArrowheads="1"/>
        </xdr:cNvSpPr>
      </xdr:nvSpPr>
      <xdr:spPr bwMode="auto">
        <a:xfrm>
          <a:off x="11573231" y="695325"/>
          <a:ext cx="286351"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20</xdr:col>
      <xdr:colOff>387922</xdr:colOff>
      <xdr:row>2</xdr:row>
      <xdr:rowOff>232209</xdr:rowOff>
    </xdr:from>
    <xdr:to>
      <xdr:col>20</xdr:col>
      <xdr:colOff>500306</xdr:colOff>
      <xdr:row>4</xdr:row>
      <xdr:rowOff>115340</xdr:rowOff>
    </xdr:to>
    <xdr:cxnSp macro="">
      <xdr:nvCxnSpPr>
        <xdr:cNvPr id="28" name="直線コネクタ 27">
          <a:extLst>
            <a:ext uri="{FF2B5EF4-FFF2-40B4-BE49-F238E27FC236}">
              <a16:creationId xmlns:a16="http://schemas.microsoft.com/office/drawing/2014/main" id="{1ACB9794-F4A7-45D3-8688-EB07C246ABEC}"/>
            </a:ext>
          </a:extLst>
        </xdr:cNvPr>
        <xdr:cNvCxnSpPr/>
      </xdr:nvCxnSpPr>
      <xdr:spPr bwMode="auto">
        <a:xfrm flipH="1">
          <a:off x="11608372" y="879909"/>
          <a:ext cx="112384"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390296</xdr:colOff>
      <xdr:row>4</xdr:row>
      <xdr:rowOff>110483</xdr:rowOff>
    </xdr:from>
    <xdr:to>
      <xdr:col>20</xdr:col>
      <xdr:colOff>505055</xdr:colOff>
      <xdr:row>4</xdr:row>
      <xdr:rowOff>205203</xdr:rowOff>
    </xdr:to>
    <xdr:cxnSp macro="">
      <xdr:nvCxnSpPr>
        <xdr:cNvPr id="29" name="直線コネクタ 28">
          <a:extLst>
            <a:ext uri="{FF2B5EF4-FFF2-40B4-BE49-F238E27FC236}">
              <a16:creationId xmlns:a16="http://schemas.microsoft.com/office/drawing/2014/main" id="{F4B04981-E586-42B8-AF5B-B87D1A173DD5}"/>
            </a:ext>
          </a:extLst>
        </xdr:cNvPr>
        <xdr:cNvCxnSpPr/>
      </xdr:nvCxnSpPr>
      <xdr:spPr bwMode="auto">
        <a:xfrm>
          <a:off x="11610746" y="1253483"/>
          <a:ext cx="114759"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175114</xdr:colOff>
      <xdr:row>14</xdr:row>
      <xdr:rowOff>238572</xdr:rowOff>
    </xdr:from>
    <xdr:to>
      <xdr:col>26</xdr:col>
      <xdr:colOff>230160</xdr:colOff>
      <xdr:row>14</xdr:row>
      <xdr:rowOff>238572</xdr:rowOff>
    </xdr:to>
    <xdr:sp macro="" textlink="">
      <xdr:nvSpPr>
        <xdr:cNvPr id="30" name="水平線1">
          <a:extLst>
            <a:ext uri="{FF2B5EF4-FFF2-40B4-BE49-F238E27FC236}">
              <a16:creationId xmlns:a16="http://schemas.microsoft.com/office/drawing/2014/main" id="{DE126EF9-47EC-440E-8DD2-541B7A80D11D}"/>
            </a:ext>
          </a:extLst>
        </xdr:cNvPr>
        <xdr:cNvSpPr>
          <a:spLocks noChangeShapeType="1"/>
        </xdr:cNvSpPr>
      </xdr:nvSpPr>
      <xdr:spPr bwMode="auto">
        <a:xfrm>
          <a:off x="8633314" y="3858072"/>
          <a:ext cx="6131996"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500305</xdr:colOff>
      <xdr:row>2</xdr:row>
      <xdr:rowOff>240304</xdr:rowOff>
    </xdr:from>
    <xdr:to>
      <xdr:col>20</xdr:col>
      <xdr:colOff>500305</xdr:colOff>
      <xdr:row>26</xdr:row>
      <xdr:rowOff>236839</xdr:rowOff>
    </xdr:to>
    <xdr:sp macro="" textlink="">
      <xdr:nvSpPr>
        <xdr:cNvPr id="31" name="垂直線1">
          <a:extLst>
            <a:ext uri="{FF2B5EF4-FFF2-40B4-BE49-F238E27FC236}">
              <a16:creationId xmlns:a16="http://schemas.microsoft.com/office/drawing/2014/main" id="{9ADB3D5A-E7B9-4DD2-BDBC-D61EEA518637}"/>
            </a:ext>
          </a:extLst>
        </xdr:cNvPr>
        <xdr:cNvSpPr>
          <a:spLocks noChangeShapeType="1"/>
        </xdr:cNvSpPr>
      </xdr:nvSpPr>
      <xdr:spPr bwMode="auto">
        <a:xfrm>
          <a:off x="11720755" y="888004"/>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25</xdr:col>
      <xdr:colOff>75558</xdr:colOff>
      <xdr:row>16</xdr:row>
      <xdr:rowOff>206232</xdr:rowOff>
    </xdr:from>
    <xdr:ext cx="400050" cy="174914"/>
    <xdr:sp macro="" textlink="">
      <xdr:nvSpPr>
        <xdr:cNvPr id="32" name="東面2">
          <a:extLst>
            <a:ext uri="{FF2B5EF4-FFF2-40B4-BE49-F238E27FC236}">
              <a16:creationId xmlns:a16="http://schemas.microsoft.com/office/drawing/2014/main" id="{FD2C5279-5142-45DA-B3C4-ADA0E76BB171}"/>
            </a:ext>
          </a:extLst>
        </xdr:cNvPr>
        <xdr:cNvSpPr txBox="1">
          <a:spLocks noChangeArrowheads="1"/>
        </xdr:cNvSpPr>
      </xdr:nvSpPr>
      <xdr:spPr bwMode="auto">
        <a:xfrm>
          <a:off x="14058258" y="4321032"/>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twoCellAnchor>
    <xdr:from>
      <xdr:col>6</xdr:col>
      <xdr:colOff>172891</xdr:colOff>
      <xdr:row>19</xdr:row>
      <xdr:rowOff>92046</xdr:rowOff>
    </xdr:from>
    <xdr:to>
      <xdr:col>7</xdr:col>
      <xdr:colOff>6928</xdr:colOff>
      <xdr:row>19</xdr:row>
      <xdr:rowOff>160194</xdr:rowOff>
    </xdr:to>
    <xdr:sp macro="" textlink="">
      <xdr:nvSpPr>
        <xdr:cNvPr id="33" name="フリーフォーム: 図形 32">
          <a:extLst>
            <a:ext uri="{FF2B5EF4-FFF2-40B4-BE49-F238E27FC236}">
              <a16:creationId xmlns:a16="http://schemas.microsoft.com/office/drawing/2014/main" id="{515E897A-1E99-45B5-9C3C-CC1CEC160ABE}"/>
            </a:ext>
          </a:extLst>
        </xdr:cNvPr>
        <xdr:cNvSpPr/>
      </xdr:nvSpPr>
      <xdr:spPr>
        <a:xfrm>
          <a:off x="3544741" y="4949796"/>
          <a:ext cx="386487" cy="68148"/>
        </a:xfrm>
        <a:custGeom>
          <a:avLst/>
          <a:gdLst/>
          <a:ahLst/>
          <a:cxnLst/>
          <a:rect l="0" t="0" r="0" b="0"/>
          <a:pathLst>
            <a:path w="386487" h="68148">
              <a:moveTo>
                <a:pt x="0" y="0"/>
              </a:moveTo>
              <a:cubicBezTo>
                <a:pt x="94018" y="29643"/>
                <a:pt x="94018" y="29643"/>
                <a:pt x="94018" y="29643"/>
              </a:cubicBezTo>
              <a:cubicBezTo>
                <a:pt x="190262" y="50980"/>
                <a:pt x="190262" y="50980"/>
                <a:pt x="190262" y="50980"/>
              </a:cubicBezTo>
              <a:cubicBezTo>
                <a:pt x="287999" y="63848"/>
                <a:pt x="287999" y="63848"/>
                <a:pt x="287999" y="63848"/>
              </a:cubicBezTo>
              <a:cubicBezTo>
                <a:pt x="386486" y="68147"/>
                <a:pt x="386486" y="68147"/>
                <a:pt x="386486" y="6814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352023</xdr:colOff>
      <xdr:row>18</xdr:row>
      <xdr:rowOff>11454</xdr:rowOff>
    </xdr:from>
    <xdr:to>
      <xdr:col>6</xdr:col>
      <xdr:colOff>519257</xdr:colOff>
      <xdr:row>19</xdr:row>
      <xdr:rowOff>70683</xdr:rowOff>
    </xdr:to>
    <xdr:sp macro="" textlink="">
      <xdr:nvSpPr>
        <xdr:cNvPr id="34" name="テキスト ボックス 33">
          <a:extLst>
            <a:ext uri="{FF2B5EF4-FFF2-40B4-BE49-F238E27FC236}">
              <a16:creationId xmlns:a16="http://schemas.microsoft.com/office/drawing/2014/main" id="{51F97742-6221-4511-84FE-C849E6C4BFC7}"/>
            </a:ext>
          </a:extLst>
        </xdr:cNvPr>
        <xdr:cNvSpPr txBox="1"/>
      </xdr:nvSpPr>
      <xdr:spPr>
        <a:xfrm>
          <a:off x="3171423" y="4621554"/>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16</xdr:row>
      <xdr:rowOff>202562</xdr:rowOff>
    </xdr:from>
    <xdr:to>
      <xdr:col>9</xdr:col>
      <xdr:colOff>81877</xdr:colOff>
      <xdr:row>20</xdr:row>
      <xdr:rowOff>38101</xdr:rowOff>
    </xdr:to>
    <xdr:sp macro="" textlink="">
      <xdr:nvSpPr>
        <xdr:cNvPr id="35" name="フリーフォーム: 図形 34">
          <a:extLst>
            <a:ext uri="{FF2B5EF4-FFF2-40B4-BE49-F238E27FC236}">
              <a16:creationId xmlns:a16="http://schemas.microsoft.com/office/drawing/2014/main" id="{91C6ACCA-C0C7-4F11-AD91-971C69ABB0C5}"/>
            </a:ext>
          </a:extLst>
        </xdr:cNvPr>
        <xdr:cNvSpPr/>
      </xdr:nvSpPr>
      <xdr:spPr>
        <a:xfrm>
          <a:off x="3931227" y="4317362"/>
          <a:ext cx="1179850" cy="826139"/>
        </a:xfrm>
        <a:custGeom>
          <a:avLst/>
          <a:gdLst/>
          <a:ahLst/>
          <a:cxnLst/>
          <a:rect l="0" t="0" r="0" b="0"/>
          <a:pathLst>
            <a:path w="1179850" h="826139">
              <a:moveTo>
                <a:pt x="0" y="826138"/>
              </a:moveTo>
              <a:cubicBezTo>
                <a:pt x="109431" y="821360"/>
                <a:pt x="109431" y="821360"/>
                <a:pt x="109431" y="821360"/>
              </a:cubicBezTo>
              <a:cubicBezTo>
                <a:pt x="218027" y="807064"/>
                <a:pt x="218027" y="807064"/>
                <a:pt x="218027" y="807064"/>
              </a:cubicBezTo>
              <a:cubicBezTo>
                <a:pt x="324966" y="783356"/>
                <a:pt x="324966" y="783356"/>
                <a:pt x="324966" y="783356"/>
              </a:cubicBezTo>
              <a:cubicBezTo>
                <a:pt x="429430" y="750418"/>
                <a:pt x="429430" y="750418"/>
                <a:pt x="429430" y="750418"/>
              </a:cubicBezTo>
              <a:cubicBezTo>
                <a:pt x="530627" y="708501"/>
                <a:pt x="530627" y="708501"/>
                <a:pt x="530627" y="708501"/>
              </a:cubicBezTo>
              <a:cubicBezTo>
                <a:pt x="627785" y="657924"/>
                <a:pt x="627785" y="657924"/>
                <a:pt x="627785" y="657924"/>
              </a:cubicBezTo>
              <a:cubicBezTo>
                <a:pt x="720165" y="599072"/>
                <a:pt x="720165" y="599072"/>
                <a:pt x="720165" y="599072"/>
              </a:cubicBezTo>
              <a:cubicBezTo>
                <a:pt x="807064" y="532391"/>
                <a:pt x="807064" y="532391"/>
                <a:pt x="807064" y="532391"/>
              </a:cubicBezTo>
              <a:cubicBezTo>
                <a:pt x="887821" y="458391"/>
                <a:pt x="887821" y="458391"/>
                <a:pt x="887821" y="458391"/>
              </a:cubicBezTo>
              <a:cubicBezTo>
                <a:pt x="961822" y="377634"/>
                <a:pt x="961822" y="377634"/>
                <a:pt x="961822" y="377634"/>
              </a:cubicBezTo>
              <a:cubicBezTo>
                <a:pt x="1028502" y="290735"/>
                <a:pt x="1028502" y="290735"/>
                <a:pt x="1028502" y="290735"/>
              </a:cubicBezTo>
              <a:cubicBezTo>
                <a:pt x="1087354" y="198355"/>
                <a:pt x="1087354" y="198355"/>
                <a:pt x="1087354" y="198355"/>
              </a:cubicBezTo>
              <a:cubicBezTo>
                <a:pt x="1137932" y="101197"/>
                <a:pt x="1137932" y="101197"/>
                <a:pt x="1137932" y="101197"/>
              </a:cubicBezTo>
              <a:cubicBezTo>
                <a:pt x="1179849" y="0"/>
                <a:pt x="1179849" y="0"/>
                <a:pt x="1179849"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87793</xdr:colOff>
      <xdr:row>18</xdr:row>
      <xdr:rowOff>52183</xdr:rowOff>
    </xdr:from>
    <xdr:to>
      <xdr:col>8</xdr:col>
      <xdr:colOff>319147</xdr:colOff>
      <xdr:row>19</xdr:row>
      <xdr:rowOff>111412</xdr:rowOff>
    </xdr:to>
    <xdr:sp macro="" textlink="">
      <xdr:nvSpPr>
        <xdr:cNvPr id="36" name="テキスト ボックス 35">
          <a:extLst>
            <a:ext uri="{FF2B5EF4-FFF2-40B4-BE49-F238E27FC236}">
              <a16:creationId xmlns:a16="http://schemas.microsoft.com/office/drawing/2014/main" id="{C88FA02E-7C60-4505-B7C9-8E3849DD05AD}"/>
            </a:ext>
          </a:extLst>
        </xdr:cNvPr>
        <xdr:cNvSpPr txBox="1"/>
      </xdr:nvSpPr>
      <xdr:spPr>
        <a:xfrm>
          <a:off x="4012093" y="4662283"/>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358486</xdr:colOff>
      <xdr:row>13</xdr:row>
      <xdr:rowOff>69475</xdr:rowOff>
    </xdr:from>
    <xdr:to>
      <xdr:col>7</xdr:col>
      <xdr:colOff>6928</xdr:colOff>
      <xdr:row>20</xdr:row>
      <xdr:rowOff>88324</xdr:rowOff>
    </xdr:to>
    <xdr:sp macro="" textlink="">
      <xdr:nvSpPr>
        <xdr:cNvPr id="37" name="フリーフォーム: 図形 36">
          <a:extLst>
            <a:ext uri="{FF2B5EF4-FFF2-40B4-BE49-F238E27FC236}">
              <a16:creationId xmlns:a16="http://schemas.microsoft.com/office/drawing/2014/main" id="{7B7103A3-5829-4B5D-812B-D7AEEEA42358}"/>
            </a:ext>
          </a:extLst>
        </xdr:cNvPr>
        <xdr:cNvSpPr/>
      </xdr:nvSpPr>
      <xdr:spPr>
        <a:xfrm>
          <a:off x="2625436" y="3441325"/>
          <a:ext cx="1305792" cy="1752399"/>
        </a:xfrm>
        <a:custGeom>
          <a:avLst/>
          <a:gdLst/>
          <a:ahLst/>
          <a:cxnLst/>
          <a:rect l="0" t="0" r="0" b="0"/>
          <a:pathLst>
            <a:path w="1305792" h="1752399">
              <a:moveTo>
                <a:pt x="78749" y="0"/>
              </a:moveTo>
              <a:cubicBezTo>
                <a:pt x="44494" y="108643"/>
                <a:pt x="44494" y="108643"/>
                <a:pt x="44494" y="108643"/>
              </a:cubicBezTo>
              <a:cubicBezTo>
                <a:pt x="19838" y="219859"/>
                <a:pt x="19838" y="219859"/>
                <a:pt x="19838" y="219859"/>
              </a:cubicBezTo>
              <a:cubicBezTo>
                <a:pt x="4969" y="332800"/>
                <a:pt x="4969" y="332800"/>
                <a:pt x="4969" y="332800"/>
              </a:cubicBezTo>
              <a:cubicBezTo>
                <a:pt x="0" y="446607"/>
                <a:pt x="0" y="446607"/>
                <a:pt x="0" y="446607"/>
              </a:cubicBezTo>
              <a:cubicBezTo>
                <a:pt x="4969" y="560414"/>
                <a:pt x="4969" y="560414"/>
                <a:pt x="4969" y="560414"/>
              </a:cubicBezTo>
              <a:cubicBezTo>
                <a:pt x="19838" y="673355"/>
                <a:pt x="19838" y="673355"/>
                <a:pt x="19838" y="673355"/>
              </a:cubicBezTo>
              <a:cubicBezTo>
                <a:pt x="44494" y="784571"/>
                <a:pt x="44494" y="784571"/>
                <a:pt x="44494" y="784571"/>
              </a:cubicBezTo>
              <a:cubicBezTo>
                <a:pt x="78749" y="893214"/>
                <a:pt x="78749" y="893214"/>
                <a:pt x="78749" y="893214"/>
              </a:cubicBezTo>
              <a:cubicBezTo>
                <a:pt x="122343" y="998458"/>
                <a:pt x="122343" y="998458"/>
                <a:pt x="122343" y="998458"/>
              </a:cubicBezTo>
              <a:cubicBezTo>
                <a:pt x="174943" y="1099502"/>
                <a:pt x="174943" y="1099502"/>
                <a:pt x="174943" y="1099502"/>
              </a:cubicBezTo>
              <a:cubicBezTo>
                <a:pt x="236150" y="1195578"/>
                <a:pt x="236150" y="1195578"/>
                <a:pt x="236150" y="1195578"/>
              </a:cubicBezTo>
              <a:cubicBezTo>
                <a:pt x="305497" y="1285953"/>
                <a:pt x="305497" y="1285953"/>
                <a:pt x="305497" y="1285953"/>
              </a:cubicBezTo>
              <a:cubicBezTo>
                <a:pt x="382458" y="1369941"/>
                <a:pt x="382458" y="1369941"/>
                <a:pt x="382458" y="1369941"/>
              </a:cubicBezTo>
              <a:cubicBezTo>
                <a:pt x="466445" y="1446901"/>
                <a:pt x="466445" y="1446901"/>
                <a:pt x="466445" y="1446901"/>
              </a:cubicBezTo>
              <a:cubicBezTo>
                <a:pt x="556820" y="1516248"/>
                <a:pt x="556820" y="1516248"/>
                <a:pt x="556820" y="1516248"/>
              </a:cubicBezTo>
              <a:cubicBezTo>
                <a:pt x="652896" y="1577455"/>
                <a:pt x="652896" y="1577455"/>
                <a:pt x="652896" y="1577455"/>
              </a:cubicBezTo>
              <a:cubicBezTo>
                <a:pt x="753940" y="1630055"/>
                <a:pt x="753940" y="1630055"/>
                <a:pt x="753940" y="1630055"/>
              </a:cubicBezTo>
              <a:cubicBezTo>
                <a:pt x="859184" y="1673649"/>
                <a:pt x="859184" y="1673649"/>
                <a:pt x="859184" y="1673649"/>
              </a:cubicBezTo>
              <a:cubicBezTo>
                <a:pt x="967827" y="1707904"/>
                <a:pt x="967827" y="1707904"/>
                <a:pt x="967827" y="1707904"/>
              </a:cubicBezTo>
              <a:cubicBezTo>
                <a:pt x="1079043" y="1732560"/>
                <a:pt x="1079043" y="1732560"/>
                <a:pt x="1079043" y="1732560"/>
              </a:cubicBezTo>
              <a:cubicBezTo>
                <a:pt x="1191984" y="1747429"/>
                <a:pt x="1191984" y="1747429"/>
                <a:pt x="1191984" y="1747429"/>
              </a:cubicBezTo>
              <a:cubicBezTo>
                <a:pt x="1305791" y="1752398"/>
                <a:pt x="1305791" y="1752398"/>
                <a:pt x="1305791" y="1752398"/>
              </a:cubicBezTo>
              <a:cubicBezTo>
                <a:pt x="1305791" y="1752398"/>
                <a:pt x="1305791" y="1752398"/>
                <a:pt x="1305791" y="175239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493648</xdr:colOff>
      <xdr:row>17</xdr:row>
      <xdr:rowOff>20302</xdr:rowOff>
    </xdr:from>
    <xdr:to>
      <xdr:col>5</xdr:col>
      <xdr:colOff>172552</xdr:colOff>
      <xdr:row>18</xdr:row>
      <xdr:rowOff>79531</xdr:rowOff>
    </xdr:to>
    <xdr:sp macro="" textlink="">
      <xdr:nvSpPr>
        <xdr:cNvPr id="38" name="テキスト ボックス 37">
          <a:extLst>
            <a:ext uri="{FF2B5EF4-FFF2-40B4-BE49-F238E27FC236}">
              <a16:creationId xmlns:a16="http://schemas.microsoft.com/office/drawing/2014/main" id="{D0564EE1-1E8F-4CDC-AAD9-B58AC641D9B9}"/>
            </a:ext>
          </a:extLst>
        </xdr:cNvPr>
        <xdr:cNvSpPr txBox="1"/>
      </xdr:nvSpPr>
      <xdr:spPr>
        <a:xfrm>
          <a:off x="2208148" y="4382752"/>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232930</xdr:colOff>
      <xdr:row>9</xdr:row>
      <xdr:rowOff>75334</xdr:rowOff>
    </xdr:from>
    <xdr:to>
      <xdr:col>7</xdr:col>
      <xdr:colOff>496478</xdr:colOff>
      <xdr:row>20</xdr:row>
      <xdr:rowOff>213881</xdr:rowOff>
    </xdr:to>
    <xdr:sp macro="" textlink="">
      <xdr:nvSpPr>
        <xdr:cNvPr id="39" name="フリーフォーム: 図形 38">
          <a:extLst>
            <a:ext uri="{FF2B5EF4-FFF2-40B4-BE49-F238E27FC236}">
              <a16:creationId xmlns:a16="http://schemas.microsoft.com/office/drawing/2014/main" id="{D0C2650A-2249-474E-A07C-F6B5E2C0CD11}"/>
            </a:ext>
          </a:extLst>
        </xdr:cNvPr>
        <xdr:cNvSpPr/>
      </xdr:nvSpPr>
      <xdr:spPr>
        <a:xfrm>
          <a:off x="2499880" y="2456584"/>
          <a:ext cx="1920898" cy="2862697"/>
        </a:xfrm>
        <a:custGeom>
          <a:avLst/>
          <a:gdLst/>
          <a:ahLst/>
          <a:cxnLst/>
          <a:rect l="0" t="0" r="0" b="0"/>
          <a:pathLst>
            <a:path w="1920898" h="2862697">
              <a:moveTo>
                <a:pt x="1920897" y="86321"/>
              </a:moveTo>
              <a:cubicBezTo>
                <a:pt x="1801807" y="48772"/>
                <a:pt x="1801807" y="48772"/>
                <a:pt x="1801807" y="48772"/>
              </a:cubicBezTo>
              <a:cubicBezTo>
                <a:pt x="1679899" y="21746"/>
                <a:pt x="1679899" y="21746"/>
                <a:pt x="1679899" y="21746"/>
              </a:cubicBezTo>
              <a:cubicBezTo>
                <a:pt x="1556098" y="5447"/>
                <a:pt x="1556098" y="5447"/>
                <a:pt x="1556098" y="5447"/>
              </a:cubicBezTo>
              <a:cubicBezTo>
                <a:pt x="1431347" y="0"/>
                <a:pt x="1431347" y="0"/>
                <a:pt x="1431347" y="0"/>
              </a:cubicBezTo>
              <a:cubicBezTo>
                <a:pt x="1306597" y="5447"/>
                <a:pt x="1306597" y="5447"/>
                <a:pt x="1306597" y="5447"/>
              </a:cubicBezTo>
              <a:cubicBezTo>
                <a:pt x="1182797" y="21746"/>
                <a:pt x="1182797" y="21746"/>
                <a:pt x="1182797" y="21746"/>
              </a:cubicBezTo>
              <a:cubicBezTo>
                <a:pt x="1060888" y="48772"/>
                <a:pt x="1060888" y="48772"/>
                <a:pt x="1060888" y="48772"/>
              </a:cubicBezTo>
              <a:cubicBezTo>
                <a:pt x="941798" y="86321"/>
                <a:pt x="941798" y="86321"/>
                <a:pt x="941798" y="86321"/>
              </a:cubicBezTo>
              <a:cubicBezTo>
                <a:pt x="826434" y="134106"/>
                <a:pt x="826434" y="134106"/>
                <a:pt x="826434" y="134106"/>
              </a:cubicBezTo>
              <a:cubicBezTo>
                <a:pt x="715674" y="191764"/>
                <a:pt x="715674" y="191764"/>
                <a:pt x="715674" y="191764"/>
              </a:cubicBezTo>
              <a:cubicBezTo>
                <a:pt x="610360" y="258856"/>
                <a:pt x="610360" y="258856"/>
                <a:pt x="610360" y="258856"/>
              </a:cubicBezTo>
              <a:cubicBezTo>
                <a:pt x="511295" y="334872"/>
                <a:pt x="511295" y="334872"/>
                <a:pt x="511295" y="334872"/>
              </a:cubicBezTo>
              <a:cubicBezTo>
                <a:pt x="419232" y="419232"/>
                <a:pt x="419232" y="419232"/>
                <a:pt x="419232" y="419232"/>
              </a:cubicBezTo>
              <a:cubicBezTo>
                <a:pt x="334872" y="511295"/>
                <a:pt x="334872" y="511295"/>
                <a:pt x="334872" y="511295"/>
              </a:cubicBezTo>
              <a:cubicBezTo>
                <a:pt x="258856" y="610360"/>
                <a:pt x="258856" y="610360"/>
                <a:pt x="258856" y="610360"/>
              </a:cubicBezTo>
              <a:cubicBezTo>
                <a:pt x="191764" y="715674"/>
                <a:pt x="191764" y="715674"/>
                <a:pt x="191764" y="715674"/>
              </a:cubicBezTo>
              <a:cubicBezTo>
                <a:pt x="134106" y="826434"/>
                <a:pt x="134106" y="826434"/>
                <a:pt x="134106" y="826434"/>
              </a:cubicBezTo>
              <a:cubicBezTo>
                <a:pt x="86321" y="941798"/>
                <a:pt x="86321" y="941798"/>
                <a:pt x="86321" y="941798"/>
              </a:cubicBezTo>
              <a:cubicBezTo>
                <a:pt x="48772" y="1060887"/>
                <a:pt x="48772" y="1060887"/>
                <a:pt x="48772" y="1060887"/>
              </a:cubicBezTo>
              <a:cubicBezTo>
                <a:pt x="21745" y="1182797"/>
                <a:pt x="21745" y="1182797"/>
                <a:pt x="21745" y="1182797"/>
              </a:cubicBezTo>
              <a:cubicBezTo>
                <a:pt x="5446" y="1306597"/>
                <a:pt x="5446" y="1306597"/>
                <a:pt x="5446" y="1306597"/>
              </a:cubicBezTo>
              <a:cubicBezTo>
                <a:pt x="0" y="1431348"/>
                <a:pt x="0" y="1431348"/>
                <a:pt x="0" y="1431348"/>
              </a:cubicBezTo>
              <a:cubicBezTo>
                <a:pt x="5446" y="1556098"/>
                <a:pt x="5446" y="1556098"/>
                <a:pt x="5446" y="1556098"/>
              </a:cubicBezTo>
              <a:cubicBezTo>
                <a:pt x="21745" y="1679898"/>
                <a:pt x="21745" y="1679898"/>
                <a:pt x="21745" y="1679898"/>
              </a:cubicBezTo>
              <a:cubicBezTo>
                <a:pt x="48771" y="1801808"/>
                <a:pt x="48771" y="1801808"/>
                <a:pt x="48771" y="1801808"/>
              </a:cubicBezTo>
              <a:cubicBezTo>
                <a:pt x="86320" y="1920897"/>
                <a:pt x="86320" y="1920897"/>
                <a:pt x="86320" y="1920897"/>
              </a:cubicBezTo>
              <a:cubicBezTo>
                <a:pt x="134105" y="2036261"/>
                <a:pt x="134105" y="2036261"/>
                <a:pt x="134105" y="2036261"/>
              </a:cubicBezTo>
              <a:cubicBezTo>
                <a:pt x="191763" y="2147021"/>
                <a:pt x="191763" y="2147021"/>
                <a:pt x="191763" y="2147021"/>
              </a:cubicBezTo>
              <a:cubicBezTo>
                <a:pt x="258855" y="2252335"/>
                <a:pt x="258855" y="2252335"/>
                <a:pt x="258855" y="2252335"/>
              </a:cubicBezTo>
              <a:cubicBezTo>
                <a:pt x="334871" y="2351400"/>
                <a:pt x="334871" y="2351400"/>
                <a:pt x="334871" y="2351400"/>
              </a:cubicBezTo>
              <a:cubicBezTo>
                <a:pt x="419231" y="2443463"/>
                <a:pt x="419231" y="2443463"/>
                <a:pt x="419231" y="2443463"/>
              </a:cubicBezTo>
              <a:cubicBezTo>
                <a:pt x="511294" y="2527824"/>
                <a:pt x="511294" y="2527824"/>
                <a:pt x="511294" y="2527824"/>
              </a:cubicBezTo>
              <a:cubicBezTo>
                <a:pt x="610360" y="2603839"/>
                <a:pt x="610360" y="2603839"/>
                <a:pt x="610360" y="2603839"/>
              </a:cubicBezTo>
              <a:cubicBezTo>
                <a:pt x="715673" y="2670931"/>
                <a:pt x="715673" y="2670931"/>
                <a:pt x="715673" y="2670931"/>
              </a:cubicBezTo>
              <a:cubicBezTo>
                <a:pt x="826433" y="2728589"/>
                <a:pt x="826433" y="2728589"/>
                <a:pt x="826433" y="2728589"/>
              </a:cubicBezTo>
              <a:cubicBezTo>
                <a:pt x="941797" y="2776375"/>
                <a:pt x="941797" y="2776375"/>
                <a:pt x="941797" y="2776375"/>
              </a:cubicBezTo>
              <a:cubicBezTo>
                <a:pt x="1060887" y="2813924"/>
                <a:pt x="1060887" y="2813924"/>
                <a:pt x="1060887" y="2813924"/>
              </a:cubicBezTo>
              <a:cubicBezTo>
                <a:pt x="1182796" y="2840950"/>
                <a:pt x="1182796" y="2840950"/>
                <a:pt x="1182796" y="2840950"/>
              </a:cubicBezTo>
              <a:cubicBezTo>
                <a:pt x="1306597" y="2857249"/>
                <a:pt x="1306597" y="2857249"/>
                <a:pt x="1306597" y="2857249"/>
              </a:cubicBezTo>
              <a:cubicBezTo>
                <a:pt x="1431347" y="2862696"/>
                <a:pt x="1431347" y="2862696"/>
                <a:pt x="1431347" y="2862696"/>
              </a:cubicBezTo>
              <a:cubicBezTo>
                <a:pt x="1431347" y="2862696"/>
                <a:pt x="1431347" y="2862696"/>
                <a:pt x="1431347" y="286269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153687</xdr:colOff>
      <xdr:row>13</xdr:row>
      <xdr:rowOff>13380</xdr:rowOff>
    </xdr:from>
    <xdr:to>
      <xdr:col>4</xdr:col>
      <xdr:colOff>385041</xdr:colOff>
      <xdr:row>14</xdr:row>
      <xdr:rowOff>72609</xdr:rowOff>
    </xdr:to>
    <xdr:sp macro="" textlink="">
      <xdr:nvSpPr>
        <xdr:cNvPr id="40" name="テキスト ボックス 39">
          <a:extLst>
            <a:ext uri="{FF2B5EF4-FFF2-40B4-BE49-F238E27FC236}">
              <a16:creationId xmlns:a16="http://schemas.microsoft.com/office/drawing/2014/main" id="{282880FB-79A9-4C4F-A03A-5B7819BE0D07}"/>
            </a:ext>
          </a:extLst>
        </xdr:cNvPr>
        <xdr:cNvSpPr txBox="1"/>
      </xdr:nvSpPr>
      <xdr:spPr>
        <a:xfrm>
          <a:off x="1868187" y="3385230"/>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5</xdr:col>
      <xdr:colOff>510495</xdr:colOff>
      <xdr:row>15</xdr:row>
      <xdr:rowOff>20782</xdr:rowOff>
    </xdr:from>
    <xdr:to>
      <xdr:col>7</xdr:col>
      <xdr:colOff>6927</xdr:colOff>
      <xdr:row>28</xdr:row>
      <xdr:rowOff>177197</xdr:rowOff>
    </xdr:to>
    <xdr:cxnSp macro="">
      <xdr:nvCxnSpPr>
        <xdr:cNvPr id="41" name="直線コネクタ 40">
          <a:extLst>
            <a:ext uri="{FF2B5EF4-FFF2-40B4-BE49-F238E27FC236}">
              <a16:creationId xmlns:a16="http://schemas.microsoft.com/office/drawing/2014/main" id="{68A614AA-D0B7-438C-9091-5AEE2709DB28}"/>
            </a:ext>
          </a:extLst>
        </xdr:cNvPr>
        <xdr:cNvCxnSpPr/>
      </xdr:nvCxnSpPr>
      <xdr:spPr>
        <a:xfrm flipH="1">
          <a:off x="3329895" y="3887932"/>
          <a:ext cx="601332" cy="3375865"/>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472395</xdr:colOff>
      <xdr:row>28</xdr:row>
      <xdr:rowOff>139097</xdr:rowOff>
    </xdr:from>
    <xdr:to>
      <xdr:col>5</xdr:col>
      <xdr:colOff>548595</xdr:colOff>
      <xdr:row>29</xdr:row>
      <xdr:rowOff>43847</xdr:rowOff>
    </xdr:to>
    <xdr:sp macro="" textlink="">
      <xdr:nvSpPr>
        <xdr:cNvPr id="42" name="矢印: 右 41">
          <a:extLst>
            <a:ext uri="{FF2B5EF4-FFF2-40B4-BE49-F238E27FC236}">
              <a16:creationId xmlns:a16="http://schemas.microsoft.com/office/drawing/2014/main" id="{EE360181-6A41-492C-AE60-196F2B15B0FA}"/>
            </a:ext>
          </a:extLst>
        </xdr:cNvPr>
        <xdr:cNvSpPr/>
      </xdr:nvSpPr>
      <xdr:spPr>
        <a:xfrm rot="16800000">
          <a:off x="3253695" y="726379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126884</xdr:colOff>
      <xdr:row>28</xdr:row>
      <xdr:rowOff>235625</xdr:rowOff>
    </xdr:from>
    <xdr:to>
      <xdr:col>6</xdr:col>
      <xdr:colOff>15580</xdr:colOff>
      <xdr:row>30</xdr:row>
      <xdr:rowOff>94829</xdr:rowOff>
    </xdr:to>
    <xdr:sp macro="" textlink="">
      <xdr:nvSpPr>
        <xdr:cNvPr id="43" name="テキスト ボックス 42">
          <a:extLst>
            <a:ext uri="{FF2B5EF4-FFF2-40B4-BE49-F238E27FC236}">
              <a16:creationId xmlns:a16="http://schemas.microsoft.com/office/drawing/2014/main" id="{9E6E3F5A-AAC2-4E24-804C-C3EC3A04F262}"/>
            </a:ext>
          </a:extLst>
        </xdr:cNvPr>
        <xdr:cNvSpPr txBox="1"/>
      </xdr:nvSpPr>
      <xdr:spPr>
        <a:xfrm>
          <a:off x="2946284" y="7322225"/>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6</xdr:col>
      <xdr:colOff>194933</xdr:colOff>
      <xdr:row>23</xdr:row>
      <xdr:rowOff>85560</xdr:rowOff>
    </xdr:from>
    <xdr:to>
      <xdr:col>7</xdr:col>
      <xdr:colOff>6928</xdr:colOff>
      <xdr:row>23</xdr:row>
      <xdr:rowOff>117767</xdr:rowOff>
    </xdr:to>
    <xdr:sp macro="" textlink="">
      <xdr:nvSpPr>
        <xdr:cNvPr id="44" name="フリーフォーム: 図形 43">
          <a:extLst>
            <a:ext uri="{FF2B5EF4-FFF2-40B4-BE49-F238E27FC236}">
              <a16:creationId xmlns:a16="http://schemas.microsoft.com/office/drawing/2014/main" id="{FF81A2EC-E7A3-4BA2-87C7-D47CE897C7B2}"/>
            </a:ext>
          </a:extLst>
        </xdr:cNvPr>
        <xdr:cNvSpPr/>
      </xdr:nvSpPr>
      <xdr:spPr>
        <a:xfrm>
          <a:off x="3566783" y="5933910"/>
          <a:ext cx="364445" cy="32207"/>
        </a:xfrm>
        <a:custGeom>
          <a:avLst/>
          <a:gdLst/>
          <a:ahLst/>
          <a:cxnLst/>
          <a:rect l="0" t="0" r="0" b="0"/>
          <a:pathLst>
            <a:path w="364445" h="32207">
              <a:moveTo>
                <a:pt x="0" y="0"/>
              </a:moveTo>
              <a:cubicBezTo>
                <a:pt x="179705" y="23978"/>
                <a:pt x="179705" y="23978"/>
                <a:pt x="179705" y="23978"/>
              </a:cubicBezTo>
              <a:cubicBezTo>
                <a:pt x="360817" y="32203"/>
                <a:pt x="360817" y="32203"/>
                <a:pt x="360817" y="32203"/>
              </a:cubicBezTo>
              <a:cubicBezTo>
                <a:pt x="364444" y="32206"/>
                <a:pt x="364444" y="32206"/>
                <a:pt x="364444" y="3220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253175</xdr:colOff>
      <xdr:row>22</xdr:row>
      <xdr:rowOff>103198</xdr:rowOff>
    </xdr:from>
    <xdr:to>
      <xdr:col>6</xdr:col>
      <xdr:colOff>510562</xdr:colOff>
      <xdr:row>23</xdr:row>
      <xdr:rowOff>162427</xdr:rowOff>
    </xdr:to>
    <xdr:sp macro="" textlink="">
      <xdr:nvSpPr>
        <xdr:cNvPr id="45" name="テキスト ボックス 44">
          <a:extLst>
            <a:ext uri="{FF2B5EF4-FFF2-40B4-BE49-F238E27FC236}">
              <a16:creationId xmlns:a16="http://schemas.microsoft.com/office/drawing/2014/main" id="{0018A4CF-81BC-46DC-8C3F-3F035A03EA7B}"/>
            </a:ext>
          </a:extLst>
        </xdr:cNvPr>
        <xdr:cNvSpPr txBox="1"/>
      </xdr:nvSpPr>
      <xdr:spPr>
        <a:xfrm>
          <a:off x="3072575" y="5703898"/>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15</xdr:row>
      <xdr:rowOff>20782</xdr:rowOff>
    </xdr:from>
    <xdr:to>
      <xdr:col>13</xdr:col>
      <xdr:colOff>16459</xdr:colOff>
      <xdr:row>18</xdr:row>
      <xdr:rowOff>118992</xdr:rowOff>
    </xdr:to>
    <xdr:cxnSp macro="">
      <xdr:nvCxnSpPr>
        <xdr:cNvPr id="46" name="直線コネクタ 45">
          <a:extLst>
            <a:ext uri="{FF2B5EF4-FFF2-40B4-BE49-F238E27FC236}">
              <a16:creationId xmlns:a16="http://schemas.microsoft.com/office/drawing/2014/main" id="{008E71C9-BE22-48D4-84AB-1057F96F1787}"/>
            </a:ext>
          </a:extLst>
        </xdr:cNvPr>
        <xdr:cNvCxnSpPr/>
      </xdr:nvCxnSpPr>
      <xdr:spPr>
        <a:xfrm>
          <a:off x="3931227" y="3887932"/>
          <a:ext cx="3324232" cy="841160"/>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492709</xdr:colOff>
      <xdr:row>18</xdr:row>
      <xdr:rowOff>118992</xdr:rowOff>
    </xdr:from>
    <xdr:to>
      <xdr:col>13</xdr:col>
      <xdr:colOff>92659</xdr:colOff>
      <xdr:row>18</xdr:row>
      <xdr:rowOff>195192</xdr:rowOff>
    </xdr:to>
    <xdr:sp macro="" textlink="">
      <xdr:nvSpPr>
        <xdr:cNvPr id="47" name="矢印: 右 46">
          <a:extLst>
            <a:ext uri="{FF2B5EF4-FFF2-40B4-BE49-F238E27FC236}">
              <a16:creationId xmlns:a16="http://schemas.microsoft.com/office/drawing/2014/main" id="{3B70466F-76EE-445E-95FD-A3AFAD5241C3}"/>
            </a:ext>
          </a:extLst>
        </xdr:cNvPr>
        <xdr:cNvSpPr/>
      </xdr:nvSpPr>
      <xdr:spPr>
        <a:xfrm rot="11640000">
          <a:off x="7179259" y="472909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64131</xdr:colOff>
      <xdr:row>17</xdr:row>
      <xdr:rowOff>190377</xdr:rowOff>
    </xdr:from>
    <xdr:to>
      <xdr:col>13</xdr:col>
      <xdr:colOff>441157</xdr:colOff>
      <xdr:row>19</xdr:row>
      <xdr:rowOff>1956</xdr:rowOff>
    </xdr:to>
    <xdr:sp macro="" textlink="">
      <xdr:nvSpPr>
        <xdr:cNvPr id="48" name="テキスト ボックス 47">
          <a:extLst>
            <a:ext uri="{FF2B5EF4-FFF2-40B4-BE49-F238E27FC236}">
              <a16:creationId xmlns:a16="http://schemas.microsoft.com/office/drawing/2014/main" id="{179F9F7B-E981-4794-B691-DD6A2EE45488}"/>
            </a:ext>
          </a:extLst>
        </xdr:cNvPr>
        <xdr:cNvSpPr txBox="1"/>
      </xdr:nvSpPr>
      <xdr:spPr>
        <a:xfrm>
          <a:off x="7303131" y="4552827"/>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7</xdr:col>
      <xdr:colOff>6927</xdr:colOff>
      <xdr:row>17</xdr:row>
      <xdr:rowOff>86256</xdr:rowOff>
    </xdr:from>
    <xdr:to>
      <xdr:col>11</xdr:col>
      <xdr:colOff>13282</xdr:colOff>
      <xdr:row>24</xdr:row>
      <xdr:rowOff>77935</xdr:rowOff>
    </xdr:to>
    <xdr:sp macro="" textlink="">
      <xdr:nvSpPr>
        <xdr:cNvPr id="49" name="フリーフォーム: 図形 48">
          <a:extLst>
            <a:ext uri="{FF2B5EF4-FFF2-40B4-BE49-F238E27FC236}">
              <a16:creationId xmlns:a16="http://schemas.microsoft.com/office/drawing/2014/main" id="{662CB5D9-22CC-435E-A558-86B4CE9460BD}"/>
            </a:ext>
          </a:extLst>
        </xdr:cNvPr>
        <xdr:cNvSpPr/>
      </xdr:nvSpPr>
      <xdr:spPr>
        <a:xfrm>
          <a:off x="3931227" y="4448706"/>
          <a:ext cx="2216155" cy="1725229"/>
        </a:xfrm>
        <a:custGeom>
          <a:avLst/>
          <a:gdLst/>
          <a:ahLst/>
          <a:cxnLst/>
          <a:rect l="0" t="0" r="0" b="0"/>
          <a:pathLst>
            <a:path w="2216155" h="1725229">
              <a:moveTo>
                <a:pt x="0" y="1725228"/>
              </a:moveTo>
              <a:cubicBezTo>
                <a:pt x="199239" y="1716529"/>
                <a:pt x="199239" y="1716529"/>
                <a:pt x="199239" y="1716529"/>
              </a:cubicBezTo>
              <a:cubicBezTo>
                <a:pt x="396960" y="1690498"/>
                <a:pt x="396960" y="1690498"/>
                <a:pt x="396960" y="1690498"/>
              </a:cubicBezTo>
              <a:cubicBezTo>
                <a:pt x="591661" y="1647334"/>
                <a:pt x="591661" y="1647334"/>
                <a:pt x="591661" y="1647334"/>
              </a:cubicBezTo>
              <a:cubicBezTo>
                <a:pt x="781859" y="1587365"/>
                <a:pt x="781859" y="1587365"/>
                <a:pt x="781859" y="1587365"/>
              </a:cubicBezTo>
              <a:cubicBezTo>
                <a:pt x="966107" y="1511048"/>
                <a:pt x="966107" y="1511048"/>
                <a:pt x="966107" y="1511048"/>
              </a:cubicBezTo>
              <a:cubicBezTo>
                <a:pt x="1143001" y="1418962"/>
                <a:pt x="1143001" y="1418962"/>
                <a:pt x="1143001" y="1418962"/>
              </a:cubicBezTo>
              <a:cubicBezTo>
                <a:pt x="1311197" y="1311809"/>
                <a:pt x="1311197" y="1311809"/>
                <a:pt x="1311197" y="1311809"/>
              </a:cubicBezTo>
              <a:cubicBezTo>
                <a:pt x="1469414" y="1190405"/>
                <a:pt x="1469414" y="1190405"/>
                <a:pt x="1469414" y="1190405"/>
              </a:cubicBezTo>
              <a:cubicBezTo>
                <a:pt x="1616448" y="1055674"/>
                <a:pt x="1616448" y="1055674"/>
                <a:pt x="1616448" y="1055674"/>
              </a:cubicBezTo>
              <a:cubicBezTo>
                <a:pt x="1751179" y="908640"/>
                <a:pt x="1751179" y="908640"/>
                <a:pt x="1751179" y="908640"/>
              </a:cubicBezTo>
              <a:cubicBezTo>
                <a:pt x="1872583" y="750423"/>
                <a:pt x="1872583" y="750423"/>
                <a:pt x="1872583" y="750423"/>
              </a:cubicBezTo>
              <a:cubicBezTo>
                <a:pt x="1979736" y="582228"/>
                <a:pt x="1979736" y="582228"/>
                <a:pt x="1979736" y="582228"/>
              </a:cubicBezTo>
              <a:cubicBezTo>
                <a:pt x="2071822" y="405333"/>
                <a:pt x="2071822" y="405333"/>
                <a:pt x="2071822" y="405333"/>
              </a:cubicBezTo>
              <a:cubicBezTo>
                <a:pt x="2148140" y="221085"/>
                <a:pt x="2148140" y="221085"/>
                <a:pt x="2148140" y="221085"/>
              </a:cubicBezTo>
              <a:cubicBezTo>
                <a:pt x="2208109" y="30888"/>
                <a:pt x="2208109" y="30888"/>
                <a:pt x="2208109" y="30888"/>
              </a:cubicBezTo>
              <a:cubicBezTo>
                <a:pt x="2216154" y="0"/>
                <a:pt x="2216154" y="0"/>
                <a:pt x="221615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129347</xdr:colOff>
      <xdr:row>21</xdr:row>
      <xdr:rowOff>84580</xdr:rowOff>
    </xdr:from>
    <xdr:to>
      <xdr:col>9</xdr:col>
      <xdr:colOff>450854</xdr:colOff>
      <xdr:row>22</xdr:row>
      <xdr:rowOff>143809</xdr:rowOff>
    </xdr:to>
    <xdr:sp macro="" textlink="">
      <xdr:nvSpPr>
        <xdr:cNvPr id="50" name="テキスト ボックス 49">
          <a:extLst>
            <a:ext uri="{FF2B5EF4-FFF2-40B4-BE49-F238E27FC236}">
              <a16:creationId xmlns:a16="http://schemas.microsoft.com/office/drawing/2014/main" id="{ABF1A999-8665-4CB9-A53B-524B15B2518E}"/>
            </a:ext>
          </a:extLst>
        </xdr:cNvPr>
        <xdr:cNvSpPr txBox="1"/>
      </xdr:nvSpPr>
      <xdr:spPr>
        <a:xfrm>
          <a:off x="4606097" y="5437630"/>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γ=-75.8[°]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xdr:col>
      <xdr:colOff>142311</xdr:colOff>
      <xdr:row>15</xdr:row>
      <xdr:rowOff>20782</xdr:rowOff>
    </xdr:from>
    <xdr:to>
      <xdr:col>7</xdr:col>
      <xdr:colOff>6927</xdr:colOff>
      <xdr:row>20</xdr:row>
      <xdr:rowOff>67059</xdr:rowOff>
    </xdr:to>
    <xdr:cxnSp macro="">
      <xdr:nvCxnSpPr>
        <xdr:cNvPr id="51" name="直線コネクタ 50">
          <a:extLst>
            <a:ext uri="{FF2B5EF4-FFF2-40B4-BE49-F238E27FC236}">
              <a16:creationId xmlns:a16="http://schemas.microsoft.com/office/drawing/2014/main" id="{5B911627-791C-4BAD-9B95-C87CB73BEF5E}"/>
            </a:ext>
          </a:extLst>
        </xdr:cNvPr>
        <xdr:cNvCxnSpPr/>
      </xdr:nvCxnSpPr>
      <xdr:spPr>
        <a:xfrm flipH="1">
          <a:off x="751911" y="3887932"/>
          <a:ext cx="3179316" cy="128452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66111</xdr:colOff>
      <xdr:row>20</xdr:row>
      <xdr:rowOff>67059</xdr:rowOff>
    </xdr:from>
    <xdr:to>
      <xdr:col>1</xdr:col>
      <xdr:colOff>218511</xdr:colOff>
      <xdr:row>20</xdr:row>
      <xdr:rowOff>143259</xdr:rowOff>
    </xdr:to>
    <xdr:sp macro="" textlink="">
      <xdr:nvSpPr>
        <xdr:cNvPr id="52" name="矢印: 右 51">
          <a:extLst>
            <a:ext uri="{FF2B5EF4-FFF2-40B4-BE49-F238E27FC236}">
              <a16:creationId xmlns:a16="http://schemas.microsoft.com/office/drawing/2014/main" id="{541B5564-73E9-485B-A6DD-0F3CFD461BD9}"/>
            </a:ext>
          </a:extLst>
        </xdr:cNvPr>
        <xdr:cNvSpPr/>
      </xdr:nvSpPr>
      <xdr:spPr>
        <a:xfrm rot="20280000">
          <a:off x="675711" y="5172459"/>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129598</xdr:colOff>
      <xdr:row>19</xdr:row>
      <xdr:rowOff>179496</xdr:rowOff>
    </xdr:from>
    <xdr:to>
      <xdr:col>0</xdr:col>
      <xdr:colOff>570744</xdr:colOff>
      <xdr:row>20</xdr:row>
      <xdr:rowOff>238725</xdr:rowOff>
    </xdr:to>
    <xdr:sp macro="" textlink="">
      <xdr:nvSpPr>
        <xdr:cNvPr id="53" name="テキスト ボックス 52">
          <a:extLst>
            <a:ext uri="{FF2B5EF4-FFF2-40B4-BE49-F238E27FC236}">
              <a16:creationId xmlns:a16="http://schemas.microsoft.com/office/drawing/2014/main" id="{C20E8959-B59D-4ED3-A56A-8409C9E2E442}"/>
            </a:ext>
          </a:extLst>
        </xdr:cNvPr>
        <xdr:cNvSpPr txBox="1"/>
      </xdr:nvSpPr>
      <xdr:spPr>
        <a:xfrm>
          <a:off x="129598" y="503724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456948</xdr:colOff>
      <xdr:row>18</xdr:row>
      <xdr:rowOff>212034</xdr:rowOff>
    </xdr:from>
    <xdr:to>
      <xdr:col>7</xdr:col>
      <xdr:colOff>6928</xdr:colOff>
      <xdr:row>25</xdr:row>
      <xdr:rowOff>38103</xdr:rowOff>
    </xdr:to>
    <xdr:sp macro="" textlink="">
      <xdr:nvSpPr>
        <xdr:cNvPr id="54" name="フリーフォーム: 図形 53">
          <a:extLst>
            <a:ext uri="{FF2B5EF4-FFF2-40B4-BE49-F238E27FC236}">
              <a16:creationId xmlns:a16="http://schemas.microsoft.com/office/drawing/2014/main" id="{BD086A30-EF5B-45C0-A886-1ACB91FD684C}"/>
            </a:ext>
          </a:extLst>
        </xdr:cNvPr>
        <xdr:cNvSpPr/>
      </xdr:nvSpPr>
      <xdr:spPr>
        <a:xfrm>
          <a:off x="1618998" y="4822134"/>
          <a:ext cx="2312230" cy="1559619"/>
        </a:xfrm>
        <a:custGeom>
          <a:avLst/>
          <a:gdLst/>
          <a:ahLst/>
          <a:cxnLst/>
          <a:rect l="0" t="0" r="0" b="0"/>
          <a:pathLst>
            <a:path w="2312230" h="1559619">
              <a:moveTo>
                <a:pt x="0" y="0"/>
              </a:moveTo>
              <a:cubicBezTo>
                <a:pt x="90219" y="197969"/>
                <a:pt x="90219" y="197969"/>
                <a:pt x="90219" y="197969"/>
              </a:cubicBezTo>
              <a:cubicBezTo>
                <a:pt x="197350" y="387322"/>
                <a:pt x="197350" y="387322"/>
                <a:pt x="197350" y="387322"/>
              </a:cubicBezTo>
              <a:cubicBezTo>
                <a:pt x="320576" y="566617"/>
                <a:pt x="320576" y="566617"/>
                <a:pt x="320576" y="566617"/>
              </a:cubicBezTo>
              <a:cubicBezTo>
                <a:pt x="458960" y="734490"/>
                <a:pt x="458960" y="734490"/>
                <a:pt x="458960" y="734490"/>
              </a:cubicBezTo>
              <a:cubicBezTo>
                <a:pt x="611448" y="889663"/>
                <a:pt x="611448" y="889663"/>
                <a:pt x="611448" y="889663"/>
              </a:cubicBezTo>
              <a:cubicBezTo>
                <a:pt x="776880" y="1030955"/>
                <a:pt x="776880" y="1030955"/>
                <a:pt x="776880" y="1030955"/>
              </a:cubicBezTo>
              <a:cubicBezTo>
                <a:pt x="953997" y="1157292"/>
                <a:pt x="953997" y="1157292"/>
                <a:pt x="953997" y="1157292"/>
              </a:cubicBezTo>
              <a:cubicBezTo>
                <a:pt x="1141452" y="1267711"/>
                <a:pt x="1141452" y="1267711"/>
                <a:pt x="1141452" y="1267711"/>
              </a:cubicBezTo>
              <a:cubicBezTo>
                <a:pt x="1337816" y="1361372"/>
                <a:pt x="1337816" y="1361372"/>
                <a:pt x="1337816" y="1361372"/>
              </a:cubicBezTo>
              <a:cubicBezTo>
                <a:pt x="1541596" y="1437562"/>
                <a:pt x="1541596" y="1437562"/>
                <a:pt x="1541596" y="1437562"/>
              </a:cubicBezTo>
              <a:cubicBezTo>
                <a:pt x="1751242" y="1495702"/>
                <a:pt x="1751242" y="1495702"/>
                <a:pt x="1751242" y="1495702"/>
              </a:cubicBezTo>
              <a:cubicBezTo>
                <a:pt x="1965156" y="1535348"/>
                <a:pt x="1965156" y="1535348"/>
                <a:pt x="1965156" y="1535348"/>
              </a:cubicBezTo>
              <a:cubicBezTo>
                <a:pt x="2181713" y="1556201"/>
                <a:pt x="2181713" y="1556201"/>
                <a:pt x="2181713" y="1556201"/>
              </a:cubicBezTo>
              <a:cubicBezTo>
                <a:pt x="2312229" y="1559618"/>
                <a:pt x="2312229" y="1559618"/>
                <a:pt x="2312229" y="155961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245098</xdr:colOff>
      <xdr:row>22</xdr:row>
      <xdr:rowOff>100552</xdr:rowOff>
    </xdr:from>
    <xdr:to>
      <xdr:col>4</xdr:col>
      <xdr:colOff>412332</xdr:colOff>
      <xdr:row>23</xdr:row>
      <xdr:rowOff>159781</xdr:rowOff>
    </xdr:to>
    <xdr:sp macro="" textlink="">
      <xdr:nvSpPr>
        <xdr:cNvPr id="55" name="テキスト ボックス 54">
          <a:extLst>
            <a:ext uri="{FF2B5EF4-FFF2-40B4-BE49-F238E27FC236}">
              <a16:creationId xmlns:a16="http://schemas.microsoft.com/office/drawing/2014/main" id="{BBC558A1-6EE1-4D20-B2EE-A2996FD9A819}"/>
            </a:ext>
          </a:extLst>
        </xdr:cNvPr>
        <xdr:cNvSpPr txBox="1"/>
      </xdr:nvSpPr>
      <xdr:spPr>
        <a:xfrm>
          <a:off x="1959598" y="5701252"/>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γ=68[°]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0</xdr:col>
      <xdr:colOff>502245</xdr:colOff>
      <xdr:row>15</xdr:row>
      <xdr:rowOff>8813</xdr:rowOff>
    </xdr:from>
    <xdr:to>
      <xdr:col>7</xdr:col>
      <xdr:colOff>6927</xdr:colOff>
      <xdr:row>15</xdr:row>
      <xdr:rowOff>20782</xdr:rowOff>
    </xdr:to>
    <xdr:cxnSp macro="">
      <xdr:nvCxnSpPr>
        <xdr:cNvPr id="56" name="直線コネクタ 55">
          <a:extLst>
            <a:ext uri="{FF2B5EF4-FFF2-40B4-BE49-F238E27FC236}">
              <a16:creationId xmlns:a16="http://schemas.microsoft.com/office/drawing/2014/main" id="{65D64517-92F1-4CA1-98EC-4C870501DCED}"/>
            </a:ext>
          </a:extLst>
        </xdr:cNvPr>
        <xdr:cNvCxnSpPr/>
      </xdr:nvCxnSpPr>
      <xdr:spPr>
        <a:xfrm flipH="1" flipV="1">
          <a:off x="502245" y="3875963"/>
          <a:ext cx="3428982" cy="11969"/>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426045</xdr:colOff>
      <xdr:row>15</xdr:row>
      <xdr:rowOff>8813</xdr:rowOff>
    </xdr:from>
    <xdr:to>
      <xdr:col>0</xdr:col>
      <xdr:colOff>578445</xdr:colOff>
      <xdr:row>15</xdr:row>
      <xdr:rowOff>85013</xdr:rowOff>
    </xdr:to>
    <xdr:sp macro="" textlink="">
      <xdr:nvSpPr>
        <xdr:cNvPr id="57" name="矢印: 右 56">
          <a:extLst>
            <a:ext uri="{FF2B5EF4-FFF2-40B4-BE49-F238E27FC236}">
              <a16:creationId xmlns:a16="http://schemas.microsoft.com/office/drawing/2014/main" id="{8A8B7D21-8DA7-48A5-B8D0-FFB7353B1442}"/>
            </a:ext>
          </a:extLst>
        </xdr:cNvPr>
        <xdr:cNvSpPr/>
      </xdr:nvSpPr>
      <xdr:spPr>
        <a:xfrm>
          <a:off x="426045" y="3875963"/>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13786</xdr:colOff>
      <xdr:row>14</xdr:row>
      <xdr:rowOff>1204</xdr:rowOff>
    </xdr:from>
    <xdr:to>
      <xdr:col>0</xdr:col>
      <xdr:colOff>454932</xdr:colOff>
      <xdr:row>15</xdr:row>
      <xdr:rowOff>60433</xdr:rowOff>
    </xdr:to>
    <xdr:sp macro="" textlink="">
      <xdr:nvSpPr>
        <xdr:cNvPr id="58" name="テキスト ボックス 57">
          <a:extLst>
            <a:ext uri="{FF2B5EF4-FFF2-40B4-BE49-F238E27FC236}">
              <a16:creationId xmlns:a16="http://schemas.microsoft.com/office/drawing/2014/main" id="{A8FC2F70-5587-474B-9296-9FF6B142005A}"/>
            </a:ext>
          </a:extLst>
        </xdr:cNvPr>
        <xdr:cNvSpPr txBox="1"/>
      </xdr:nvSpPr>
      <xdr:spPr>
        <a:xfrm>
          <a:off x="13786" y="3620704"/>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67555</xdr:colOff>
      <xdr:row>15</xdr:row>
      <xdr:rowOff>11352</xdr:rowOff>
    </xdr:from>
    <xdr:to>
      <xdr:col>7</xdr:col>
      <xdr:colOff>6928</xdr:colOff>
      <xdr:row>25</xdr:row>
      <xdr:rowOff>245922</xdr:rowOff>
    </xdr:to>
    <xdr:sp macro="" textlink="">
      <xdr:nvSpPr>
        <xdr:cNvPr id="59" name="フリーフォーム: 図形 58">
          <a:extLst>
            <a:ext uri="{FF2B5EF4-FFF2-40B4-BE49-F238E27FC236}">
              <a16:creationId xmlns:a16="http://schemas.microsoft.com/office/drawing/2014/main" id="{6A9A3B50-749B-4589-A9D0-76A39CA1DEB1}"/>
            </a:ext>
          </a:extLst>
        </xdr:cNvPr>
        <xdr:cNvSpPr/>
      </xdr:nvSpPr>
      <xdr:spPr>
        <a:xfrm>
          <a:off x="1229605" y="3878502"/>
          <a:ext cx="2701623" cy="2711070"/>
        </a:xfrm>
        <a:custGeom>
          <a:avLst/>
          <a:gdLst/>
          <a:ahLst/>
          <a:cxnLst/>
          <a:rect l="0" t="0" r="0" b="0"/>
          <a:pathLst>
            <a:path w="2701623" h="2711070">
              <a:moveTo>
                <a:pt x="0" y="0"/>
              </a:moveTo>
              <a:cubicBezTo>
                <a:pt x="9459" y="235498"/>
                <a:pt x="9459" y="235498"/>
                <a:pt x="9459" y="235498"/>
              </a:cubicBezTo>
              <a:cubicBezTo>
                <a:pt x="39406" y="469275"/>
                <a:pt x="39406" y="469275"/>
                <a:pt x="39406" y="469275"/>
              </a:cubicBezTo>
              <a:cubicBezTo>
                <a:pt x="89615" y="699552"/>
                <a:pt x="89615" y="699552"/>
                <a:pt x="89615" y="699552"/>
              </a:cubicBezTo>
              <a:cubicBezTo>
                <a:pt x="159703" y="924578"/>
                <a:pt x="159703" y="924578"/>
                <a:pt x="159703" y="924578"/>
              </a:cubicBezTo>
              <a:cubicBezTo>
                <a:pt x="249136" y="1142638"/>
                <a:pt x="249136" y="1142638"/>
                <a:pt x="249136" y="1142638"/>
              </a:cubicBezTo>
              <a:cubicBezTo>
                <a:pt x="357234" y="1352074"/>
                <a:pt x="357234" y="1352074"/>
                <a:pt x="357234" y="1352074"/>
              </a:cubicBezTo>
              <a:cubicBezTo>
                <a:pt x="483174" y="1551292"/>
                <a:pt x="483174" y="1551292"/>
                <a:pt x="483174" y="1551292"/>
              </a:cubicBezTo>
              <a:cubicBezTo>
                <a:pt x="625998" y="1738775"/>
                <a:pt x="625998" y="1738775"/>
                <a:pt x="625998" y="1738775"/>
              </a:cubicBezTo>
              <a:cubicBezTo>
                <a:pt x="784619" y="1913097"/>
                <a:pt x="784619" y="1913097"/>
                <a:pt x="784619" y="1913097"/>
              </a:cubicBezTo>
              <a:cubicBezTo>
                <a:pt x="957829" y="2072931"/>
                <a:pt x="957829" y="2072931"/>
                <a:pt x="957829" y="2072931"/>
              </a:cubicBezTo>
              <a:cubicBezTo>
                <a:pt x="1144310" y="2217060"/>
                <a:pt x="1144310" y="2217060"/>
                <a:pt x="1144310" y="2217060"/>
              </a:cubicBezTo>
              <a:cubicBezTo>
                <a:pt x="1342644" y="2344388"/>
                <a:pt x="1342644" y="2344388"/>
                <a:pt x="1342644" y="2344388"/>
              </a:cubicBezTo>
              <a:cubicBezTo>
                <a:pt x="1551320" y="2453946"/>
                <a:pt x="1551320" y="2453946"/>
                <a:pt x="1551320" y="2453946"/>
              </a:cubicBezTo>
              <a:cubicBezTo>
                <a:pt x="1768751" y="2544899"/>
                <a:pt x="1768751" y="2544899"/>
                <a:pt x="1768751" y="2544899"/>
              </a:cubicBezTo>
              <a:cubicBezTo>
                <a:pt x="1993281" y="2616556"/>
                <a:pt x="1993281" y="2616556"/>
                <a:pt x="1993281" y="2616556"/>
              </a:cubicBezTo>
              <a:cubicBezTo>
                <a:pt x="2223203" y="2668371"/>
                <a:pt x="2223203" y="2668371"/>
                <a:pt x="2223203" y="2668371"/>
              </a:cubicBezTo>
              <a:cubicBezTo>
                <a:pt x="2456765" y="2699950"/>
                <a:pt x="2456765" y="2699950"/>
                <a:pt x="2456765" y="2699950"/>
              </a:cubicBezTo>
              <a:cubicBezTo>
                <a:pt x="2692191" y="2711052"/>
                <a:pt x="2692191" y="2711052"/>
                <a:pt x="2692191" y="2711052"/>
              </a:cubicBezTo>
              <a:cubicBezTo>
                <a:pt x="2701622" y="2711069"/>
                <a:pt x="2701622" y="2711069"/>
                <a:pt x="2701622" y="2711069"/>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179779</xdr:colOff>
      <xdr:row>21</xdr:row>
      <xdr:rowOff>187741</xdr:rowOff>
    </xdr:from>
    <xdr:to>
      <xdr:col>3</xdr:col>
      <xdr:colOff>437166</xdr:colOff>
      <xdr:row>22</xdr:row>
      <xdr:rowOff>246970</xdr:rowOff>
    </xdr:to>
    <xdr:sp macro="" textlink="">
      <xdr:nvSpPr>
        <xdr:cNvPr id="60" name="テキスト ボックス 59">
          <a:extLst>
            <a:ext uri="{FF2B5EF4-FFF2-40B4-BE49-F238E27FC236}">
              <a16:creationId xmlns:a16="http://schemas.microsoft.com/office/drawing/2014/main" id="{9B4FDD3B-D81A-4CE2-8232-8E7F7AD07D9B}"/>
            </a:ext>
          </a:extLst>
        </xdr:cNvPr>
        <xdr:cNvSpPr txBox="1"/>
      </xdr:nvSpPr>
      <xdr:spPr>
        <a:xfrm>
          <a:off x="1341829" y="5540791"/>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γ=90.2[°]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126120</xdr:colOff>
      <xdr:row>19</xdr:row>
      <xdr:rowOff>56617</xdr:rowOff>
    </xdr:from>
    <xdr:to>
      <xdr:col>20</xdr:col>
      <xdr:colOff>507277</xdr:colOff>
      <xdr:row>19</xdr:row>
      <xdr:rowOff>123826</xdr:rowOff>
    </xdr:to>
    <xdr:sp macro="" textlink="">
      <xdr:nvSpPr>
        <xdr:cNvPr id="61" name="フリーフォーム: 図形 60">
          <a:extLst>
            <a:ext uri="{FF2B5EF4-FFF2-40B4-BE49-F238E27FC236}">
              <a16:creationId xmlns:a16="http://schemas.microsoft.com/office/drawing/2014/main" id="{56AB005D-E6C2-465B-83C5-C2F3F0080C72}"/>
            </a:ext>
          </a:extLst>
        </xdr:cNvPr>
        <xdr:cNvSpPr/>
      </xdr:nvSpPr>
      <xdr:spPr>
        <a:xfrm>
          <a:off x="11346570" y="4914367"/>
          <a:ext cx="381157" cy="67209"/>
        </a:xfrm>
        <a:custGeom>
          <a:avLst/>
          <a:gdLst/>
          <a:ahLst/>
          <a:cxnLst/>
          <a:rect l="0" t="0" r="0" b="0"/>
          <a:pathLst>
            <a:path w="381157" h="67209">
              <a:moveTo>
                <a:pt x="0" y="0"/>
              </a:moveTo>
              <a:cubicBezTo>
                <a:pt x="92722" y="29235"/>
                <a:pt x="92722" y="29235"/>
                <a:pt x="92722" y="29235"/>
              </a:cubicBezTo>
              <a:cubicBezTo>
                <a:pt x="187638" y="50277"/>
                <a:pt x="187638" y="50277"/>
                <a:pt x="187638" y="50277"/>
              </a:cubicBezTo>
              <a:cubicBezTo>
                <a:pt x="284028" y="62967"/>
                <a:pt x="284028" y="62967"/>
                <a:pt x="284028" y="62967"/>
              </a:cubicBezTo>
              <a:cubicBezTo>
                <a:pt x="381156" y="67208"/>
                <a:pt x="381156" y="67208"/>
                <a:pt x="381156" y="6720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302629</xdr:colOff>
      <xdr:row>17</xdr:row>
      <xdr:rowOff>222973</xdr:rowOff>
    </xdr:from>
    <xdr:to>
      <xdr:col>20</xdr:col>
      <xdr:colOff>469863</xdr:colOff>
      <xdr:row>19</xdr:row>
      <xdr:rowOff>34552</xdr:rowOff>
    </xdr:to>
    <xdr:sp macro="" textlink="">
      <xdr:nvSpPr>
        <xdr:cNvPr id="62" name="テキスト ボックス 61">
          <a:extLst>
            <a:ext uri="{FF2B5EF4-FFF2-40B4-BE49-F238E27FC236}">
              <a16:creationId xmlns:a16="http://schemas.microsoft.com/office/drawing/2014/main" id="{08713B97-AAA4-4618-8420-990A61900AAB}"/>
            </a:ext>
          </a:extLst>
        </xdr:cNvPr>
        <xdr:cNvSpPr txBox="1"/>
      </xdr:nvSpPr>
      <xdr:spPr>
        <a:xfrm>
          <a:off x="10970629" y="4585423"/>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16</xdr:row>
      <xdr:rowOff>175857</xdr:rowOff>
    </xdr:from>
    <xdr:to>
      <xdr:col>23</xdr:col>
      <xdr:colOff>13501</xdr:colOff>
      <xdr:row>20</xdr:row>
      <xdr:rowOff>1</xdr:rowOff>
    </xdr:to>
    <xdr:sp macro="" textlink="">
      <xdr:nvSpPr>
        <xdr:cNvPr id="63" name="フリーフォーム: 図形 62">
          <a:extLst>
            <a:ext uri="{FF2B5EF4-FFF2-40B4-BE49-F238E27FC236}">
              <a16:creationId xmlns:a16="http://schemas.microsoft.com/office/drawing/2014/main" id="{9255BCB2-0DAE-47D9-A265-9E4DE757A4E7}"/>
            </a:ext>
          </a:extLst>
        </xdr:cNvPr>
        <xdr:cNvSpPr/>
      </xdr:nvSpPr>
      <xdr:spPr>
        <a:xfrm>
          <a:off x="11727726" y="4290657"/>
          <a:ext cx="1163575" cy="814744"/>
        </a:xfrm>
        <a:custGeom>
          <a:avLst/>
          <a:gdLst/>
          <a:ahLst/>
          <a:cxnLst/>
          <a:rect l="0" t="0" r="0" b="0"/>
          <a:pathLst>
            <a:path w="1163575" h="814744">
              <a:moveTo>
                <a:pt x="0" y="814743"/>
              </a:moveTo>
              <a:cubicBezTo>
                <a:pt x="107921" y="810031"/>
                <a:pt x="107921" y="810031"/>
                <a:pt x="107921" y="810031"/>
              </a:cubicBezTo>
              <a:cubicBezTo>
                <a:pt x="215020" y="795931"/>
                <a:pt x="215020" y="795931"/>
                <a:pt x="215020" y="795931"/>
              </a:cubicBezTo>
              <a:cubicBezTo>
                <a:pt x="320483" y="772551"/>
                <a:pt x="320483" y="772551"/>
                <a:pt x="320483" y="772551"/>
              </a:cubicBezTo>
              <a:cubicBezTo>
                <a:pt x="423507" y="740067"/>
                <a:pt x="423507" y="740067"/>
                <a:pt x="423507" y="740067"/>
              </a:cubicBezTo>
              <a:cubicBezTo>
                <a:pt x="523307" y="698729"/>
                <a:pt x="523307" y="698729"/>
                <a:pt x="523307" y="698729"/>
              </a:cubicBezTo>
              <a:cubicBezTo>
                <a:pt x="619125" y="648849"/>
                <a:pt x="619125" y="648849"/>
                <a:pt x="619125" y="648849"/>
              </a:cubicBezTo>
              <a:cubicBezTo>
                <a:pt x="710231" y="590808"/>
                <a:pt x="710231" y="590808"/>
                <a:pt x="710231" y="590808"/>
              </a:cubicBezTo>
              <a:cubicBezTo>
                <a:pt x="795931" y="525048"/>
                <a:pt x="795931" y="525048"/>
                <a:pt x="795931" y="525048"/>
              </a:cubicBezTo>
              <a:cubicBezTo>
                <a:pt x="875574" y="452068"/>
                <a:pt x="875574" y="452068"/>
                <a:pt x="875574" y="452068"/>
              </a:cubicBezTo>
              <a:cubicBezTo>
                <a:pt x="948555" y="372425"/>
                <a:pt x="948555" y="372425"/>
                <a:pt x="948555" y="372425"/>
              </a:cubicBezTo>
              <a:cubicBezTo>
                <a:pt x="1014315" y="286724"/>
                <a:pt x="1014315" y="286724"/>
                <a:pt x="1014315" y="286724"/>
              </a:cubicBezTo>
              <a:cubicBezTo>
                <a:pt x="1072355" y="195618"/>
                <a:pt x="1072355" y="195618"/>
                <a:pt x="1072355" y="195618"/>
              </a:cubicBezTo>
              <a:cubicBezTo>
                <a:pt x="1122235" y="99800"/>
                <a:pt x="1122235" y="99800"/>
                <a:pt x="1122235" y="99800"/>
              </a:cubicBezTo>
              <a:cubicBezTo>
                <a:pt x="1163574" y="0"/>
                <a:pt x="1163574" y="0"/>
                <a:pt x="116357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25758</xdr:colOff>
      <xdr:row>18</xdr:row>
      <xdr:rowOff>17214</xdr:rowOff>
    </xdr:from>
    <xdr:to>
      <xdr:col>22</xdr:col>
      <xdr:colOff>257112</xdr:colOff>
      <xdr:row>19</xdr:row>
      <xdr:rowOff>76443</xdr:rowOff>
    </xdr:to>
    <xdr:sp macro="" textlink="">
      <xdr:nvSpPr>
        <xdr:cNvPr id="64" name="テキスト ボックス 63">
          <a:extLst>
            <a:ext uri="{FF2B5EF4-FFF2-40B4-BE49-F238E27FC236}">
              <a16:creationId xmlns:a16="http://schemas.microsoft.com/office/drawing/2014/main" id="{3AC6CAA7-4836-4E8D-8B62-4D92A1DE9C3F}"/>
            </a:ext>
          </a:extLst>
        </xdr:cNvPr>
        <xdr:cNvSpPr txBox="1"/>
      </xdr:nvSpPr>
      <xdr:spPr>
        <a:xfrm>
          <a:off x="11798658" y="4627314"/>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324396</xdr:colOff>
      <xdr:row>13</xdr:row>
      <xdr:rowOff>54853</xdr:rowOff>
    </xdr:from>
    <xdr:to>
      <xdr:col>20</xdr:col>
      <xdr:colOff>507277</xdr:colOff>
      <xdr:row>20</xdr:row>
      <xdr:rowOff>49531</xdr:rowOff>
    </xdr:to>
    <xdr:sp macro="" textlink="">
      <xdr:nvSpPr>
        <xdr:cNvPr id="65" name="フリーフォーム: 図形 64">
          <a:extLst>
            <a:ext uri="{FF2B5EF4-FFF2-40B4-BE49-F238E27FC236}">
              <a16:creationId xmlns:a16="http://schemas.microsoft.com/office/drawing/2014/main" id="{4BD86A12-931E-405D-B9E9-6CEC5C459D72}"/>
            </a:ext>
          </a:extLst>
        </xdr:cNvPr>
        <xdr:cNvSpPr/>
      </xdr:nvSpPr>
      <xdr:spPr>
        <a:xfrm>
          <a:off x="10439946" y="3426703"/>
          <a:ext cx="1287781" cy="1728228"/>
        </a:xfrm>
        <a:custGeom>
          <a:avLst/>
          <a:gdLst/>
          <a:ahLst/>
          <a:cxnLst/>
          <a:rect l="0" t="0" r="0" b="0"/>
          <a:pathLst>
            <a:path w="1287781" h="1728228">
              <a:moveTo>
                <a:pt x="77662" y="0"/>
              </a:moveTo>
              <a:cubicBezTo>
                <a:pt x="43880" y="107145"/>
                <a:pt x="43880" y="107145"/>
                <a:pt x="43880" y="107145"/>
              </a:cubicBezTo>
              <a:cubicBezTo>
                <a:pt x="19564" y="216826"/>
                <a:pt x="19564" y="216826"/>
                <a:pt x="19564" y="216826"/>
              </a:cubicBezTo>
              <a:cubicBezTo>
                <a:pt x="4900" y="328209"/>
                <a:pt x="4900" y="328209"/>
                <a:pt x="4900" y="328209"/>
              </a:cubicBezTo>
              <a:cubicBezTo>
                <a:pt x="0" y="440447"/>
                <a:pt x="0" y="440447"/>
                <a:pt x="0" y="440447"/>
              </a:cubicBezTo>
              <a:cubicBezTo>
                <a:pt x="4900" y="552684"/>
                <a:pt x="4900" y="552684"/>
                <a:pt x="4900" y="552684"/>
              </a:cubicBezTo>
              <a:cubicBezTo>
                <a:pt x="19564" y="664067"/>
                <a:pt x="19564" y="664067"/>
                <a:pt x="19564" y="664067"/>
              </a:cubicBezTo>
              <a:cubicBezTo>
                <a:pt x="43880" y="773749"/>
                <a:pt x="43880" y="773749"/>
                <a:pt x="43880" y="773749"/>
              </a:cubicBezTo>
              <a:cubicBezTo>
                <a:pt x="77662" y="880893"/>
                <a:pt x="77662" y="880893"/>
                <a:pt x="77662" y="880893"/>
              </a:cubicBezTo>
              <a:cubicBezTo>
                <a:pt x="120655" y="984686"/>
                <a:pt x="120655" y="984686"/>
                <a:pt x="120655" y="984686"/>
              </a:cubicBezTo>
              <a:cubicBezTo>
                <a:pt x="172529" y="1084337"/>
                <a:pt x="172529" y="1084337"/>
                <a:pt x="172529" y="1084337"/>
              </a:cubicBezTo>
              <a:cubicBezTo>
                <a:pt x="232892" y="1179087"/>
                <a:pt x="232892" y="1179087"/>
                <a:pt x="232892" y="1179087"/>
              </a:cubicBezTo>
              <a:cubicBezTo>
                <a:pt x="301283" y="1268216"/>
                <a:pt x="301283" y="1268216"/>
                <a:pt x="301283" y="1268216"/>
              </a:cubicBezTo>
              <a:cubicBezTo>
                <a:pt x="377182" y="1351045"/>
                <a:pt x="377182" y="1351045"/>
                <a:pt x="377182" y="1351045"/>
              </a:cubicBezTo>
              <a:cubicBezTo>
                <a:pt x="460010" y="1426943"/>
                <a:pt x="460010" y="1426943"/>
                <a:pt x="460010" y="1426943"/>
              </a:cubicBezTo>
              <a:cubicBezTo>
                <a:pt x="549139" y="1495335"/>
                <a:pt x="549139" y="1495335"/>
                <a:pt x="549139" y="1495335"/>
              </a:cubicBezTo>
              <a:cubicBezTo>
                <a:pt x="643890" y="1555697"/>
                <a:pt x="643890" y="1555697"/>
                <a:pt x="643890" y="1555697"/>
              </a:cubicBezTo>
              <a:cubicBezTo>
                <a:pt x="743540" y="1607572"/>
                <a:pt x="743540" y="1607572"/>
                <a:pt x="743540" y="1607572"/>
              </a:cubicBezTo>
              <a:cubicBezTo>
                <a:pt x="847332" y="1650564"/>
                <a:pt x="847332" y="1650564"/>
                <a:pt x="847332" y="1650564"/>
              </a:cubicBezTo>
              <a:cubicBezTo>
                <a:pt x="954478" y="1684347"/>
                <a:pt x="954478" y="1684347"/>
                <a:pt x="954478" y="1684347"/>
              </a:cubicBezTo>
              <a:cubicBezTo>
                <a:pt x="1064159" y="1708663"/>
                <a:pt x="1064159" y="1708663"/>
                <a:pt x="1064159" y="1708663"/>
              </a:cubicBezTo>
              <a:cubicBezTo>
                <a:pt x="1175542" y="1723326"/>
                <a:pt x="1175542" y="1723326"/>
                <a:pt x="1175542" y="1723326"/>
              </a:cubicBezTo>
              <a:cubicBezTo>
                <a:pt x="1287779" y="1728227"/>
                <a:pt x="1287779" y="1728227"/>
                <a:pt x="1287779" y="1728227"/>
              </a:cubicBezTo>
              <a:cubicBezTo>
                <a:pt x="1287780" y="1728227"/>
                <a:pt x="1287780" y="1728227"/>
                <a:pt x="1287780" y="172822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456300</xdr:colOff>
      <xdr:row>16</xdr:row>
      <xdr:rowOff>236839</xdr:rowOff>
    </xdr:from>
    <xdr:to>
      <xdr:col>19</xdr:col>
      <xdr:colOff>135204</xdr:colOff>
      <xdr:row>18</xdr:row>
      <xdr:rowOff>48418</xdr:rowOff>
    </xdr:to>
    <xdr:sp macro="" textlink="">
      <xdr:nvSpPr>
        <xdr:cNvPr id="66" name="テキスト ボックス 65">
          <a:extLst>
            <a:ext uri="{FF2B5EF4-FFF2-40B4-BE49-F238E27FC236}">
              <a16:creationId xmlns:a16="http://schemas.microsoft.com/office/drawing/2014/main" id="{6874858B-1BB1-47EB-8927-699B476F1E91}"/>
            </a:ext>
          </a:extLst>
        </xdr:cNvPr>
        <xdr:cNvSpPr txBox="1"/>
      </xdr:nvSpPr>
      <xdr:spPr>
        <a:xfrm>
          <a:off x="10019400" y="4351639"/>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200571</xdr:colOff>
      <xdr:row>9</xdr:row>
      <xdr:rowOff>74295</xdr:rowOff>
    </xdr:from>
    <xdr:to>
      <xdr:col>21</xdr:col>
      <xdr:colOff>437625</xdr:colOff>
      <xdr:row>20</xdr:row>
      <xdr:rowOff>173356</xdr:rowOff>
    </xdr:to>
    <xdr:sp macro="" textlink="">
      <xdr:nvSpPr>
        <xdr:cNvPr id="67" name="フリーフォーム: 図形 66">
          <a:extLst>
            <a:ext uri="{FF2B5EF4-FFF2-40B4-BE49-F238E27FC236}">
              <a16:creationId xmlns:a16="http://schemas.microsoft.com/office/drawing/2014/main" id="{8FBF1119-F5A5-4E1C-A1BF-EB7D9F18E087}"/>
            </a:ext>
          </a:extLst>
        </xdr:cNvPr>
        <xdr:cNvSpPr/>
      </xdr:nvSpPr>
      <xdr:spPr>
        <a:xfrm>
          <a:off x="10316121" y="2455545"/>
          <a:ext cx="1894404" cy="2823211"/>
        </a:xfrm>
        <a:custGeom>
          <a:avLst/>
          <a:gdLst/>
          <a:ahLst/>
          <a:cxnLst/>
          <a:rect l="0" t="0" r="0" b="0"/>
          <a:pathLst>
            <a:path w="1894404" h="2823211">
              <a:moveTo>
                <a:pt x="1894403" y="85130"/>
              </a:moveTo>
              <a:cubicBezTo>
                <a:pt x="1776956" y="48099"/>
                <a:pt x="1776956" y="48099"/>
                <a:pt x="1776956" y="48099"/>
              </a:cubicBezTo>
              <a:cubicBezTo>
                <a:pt x="1656728" y="21445"/>
                <a:pt x="1656728" y="21445"/>
                <a:pt x="1656728" y="21445"/>
              </a:cubicBezTo>
              <a:cubicBezTo>
                <a:pt x="1534635" y="5372"/>
                <a:pt x="1534635" y="5372"/>
                <a:pt x="1534635" y="5372"/>
              </a:cubicBezTo>
              <a:cubicBezTo>
                <a:pt x="1411605" y="0"/>
                <a:pt x="1411605" y="0"/>
                <a:pt x="1411605" y="0"/>
              </a:cubicBezTo>
              <a:cubicBezTo>
                <a:pt x="1288575" y="5372"/>
                <a:pt x="1288575" y="5372"/>
                <a:pt x="1288575" y="5372"/>
              </a:cubicBezTo>
              <a:cubicBezTo>
                <a:pt x="1166483" y="21445"/>
                <a:pt x="1166483" y="21445"/>
                <a:pt x="1166483" y="21445"/>
              </a:cubicBezTo>
              <a:cubicBezTo>
                <a:pt x="1046255" y="48099"/>
                <a:pt x="1046255" y="48099"/>
                <a:pt x="1046255" y="48099"/>
              </a:cubicBezTo>
              <a:cubicBezTo>
                <a:pt x="928808" y="85130"/>
                <a:pt x="928808" y="85130"/>
                <a:pt x="928808" y="85130"/>
              </a:cubicBezTo>
              <a:cubicBezTo>
                <a:pt x="815035" y="132256"/>
                <a:pt x="815035" y="132256"/>
                <a:pt x="815035" y="132256"/>
              </a:cubicBezTo>
              <a:cubicBezTo>
                <a:pt x="705802" y="189119"/>
                <a:pt x="705802" y="189119"/>
                <a:pt x="705802" y="189119"/>
              </a:cubicBezTo>
              <a:cubicBezTo>
                <a:pt x="601942" y="255286"/>
                <a:pt x="601942" y="255286"/>
                <a:pt x="601942" y="255286"/>
              </a:cubicBezTo>
              <a:cubicBezTo>
                <a:pt x="504243" y="330253"/>
                <a:pt x="504243" y="330253"/>
                <a:pt x="504243" y="330253"/>
              </a:cubicBezTo>
              <a:cubicBezTo>
                <a:pt x="413450" y="413449"/>
                <a:pt x="413450" y="413449"/>
                <a:pt x="413450" y="413449"/>
              </a:cubicBezTo>
              <a:cubicBezTo>
                <a:pt x="330253" y="504243"/>
                <a:pt x="330253" y="504243"/>
                <a:pt x="330253" y="504243"/>
              </a:cubicBezTo>
              <a:cubicBezTo>
                <a:pt x="255286" y="601941"/>
                <a:pt x="255286" y="601941"/>
                <a:pt x="255286" y="601941"/>
              </a:cubicBezTo>
              <a:cubicBezTo>
                <a:pt x="189119" y="705802"/>
                <a:pt x="189119" y="705802"/>
                <a:pt x="189119" y="705802"/>
              </a:cubicBezTo>
              <a:cubicBezTo>
                <a:pt x="132257" y="815034"/>
                <a:pt x="132257" y="815034"/>
                <a:pt x="132257" y="815034"/>
              </a:cubicBezTo>
              <a:cubicBezTo>
                <a:pt x="85130" y="928807"/>
                <a:pt x="85130" y="928807"/>
                <a:pt x="85130" y="928807"/>
              </a:cubicBezTo>
              <a:cubicBezTo>
                <a:pt x="48099" y="1046254"/>
                <a:pt x="48099" y="1046254"/>
                <a:pt x="48099" y="1046254"/>
              </a:cubicBezTo>
              <a:cubicBezTo>
                <a:pt x="21446" y="1166482"/>
                <a:pt x="21446" y="1166482"/>
                <a:pt x="21446" y="1166482"/>
              </a:cubicBezTo>
              <a:cubicBezTo>
                <a:pt x="5371" y="1288575"/>
                <a:pt x="5371" y="1288575"/>
                <a:pt x="5371" y="1288575"/>
              </a:cubicBezTo>
              <a:cubicBezTo>
                <a:pt x="0" y="1411605"/>
                <a:pt x="0" y="1411605"/>
                <a:pt x="0" y="1411605"/>
              </a:cubicBezTo>
              <a:cubicBezTo>
                <a:pt x="5371" y="1534634"/>
                <a:pt x="5371" y="1534634"/>
                <a:pt x="5371" y="1534634"/>
              </a:cubicBezTo>
              <a:cubicBezTo>
                <a:pt x="21446" y="1656727"/>
                <a:pt x="21446" y="1656727"/>
                <a:pt x="21446" y="1656727"/>
              </a:cubicBezTo>
              <a:cubicBezTo>
                <a:pt x="48099" y="1776955"/>
                <a:pt x="48099" y="1776955"/>
                <a:pt x="48099" y="1776955"/>
              </a:cubicBezTo>
              <a:cubicBezTo>
                <a:pt x="85130" y="1894402"/>
                <a:pt x="85130" y="1894402"/>
                <a:pt x="85130" y="1894402"/>
              </a:cubicBezTo>
              <a:cubicBezTo>
                <a:pt x="132256" y="2008174"/>
                <a:pt x="132256" y="2008174"/>
                <a:pt x="132256" y="2008174"/>
              </a:cubicBezTo>
              <a:cubicBezTo>
                <a:pt x="189119" y="2117407"/>
                <a:pt x="189119" y="2117407"/>
                <a:pt x="189119" y="2117407"/>
              </a:cubicBezTo>
              <a:cubicBezTo>
                <a:pt x="255286" y="2221268"/>
                <a:pt x="255286" y="2221268"/>
                <a:pt x="255286" y="2221268"/>
              </a:cubicBezTo>
              <a:cubicBezTo>
                <a:pt x="330252" y="2318967"/>
                <a:pt x="330252" y="2318967"/>
                <a:pt x="330252" y="2318967"/>
              </a:cubicBezTo>
              <a:cubicBezTo>
                <a:pt x="413449" y="2409760"/>
                <a:pt x="413449" y="2409760"/>
                <a:pt x="413449" y="2409760"/>
              </a:cubicBezTo>
              <a:cubicBezTo>
                <a:pt x="504243" y="2492957"/>
                <a:pt x="504243" y="2492957"/>
                <a:pt x="504243" y="2492957"/>
              </a:cubicBezTo>
              <a:cubicBezTo>
                <a:pt x="601941" y="2567924"/>
                <a:pt x="601941" y="2567924"/>
                <a:pt x="601941" y="2567924"/>
              </a:cubicBezTo>
              <a:cubicBezTo>
                <a:pt x="705802" y="2634090"/>
                <a:pt x="705802" y="2634090"/>
                <a:pt x="705802" y="2634090"/>
              </a:cubicBezTo>
              <a:cubicBezTo>
                <a:pt x="815034" y="2690953"/>
                <a:pt x="815034" y="2690953"/>
                <a:pt x="815034" y="2690953"/>
              </a:cubicBezTo>
              <a:cubicBezTo>
                <a:pt x="928807" y="2738079"/>
                <a:pt x="928807" y="2738079"/>
                <a:pt x="928807" y="2738079"/>
              </a:cubicBezTo>
              <a:cubicBezTo>
                <a:pt x="1046254" y="2775111"/>
                <a:pt x="1046254" y="2775111"/>
                <a:pt x="1046254" y="2775111"/>
              </a:cubicBezTo>
              <a:cubicBezTo>
                <a:pt x="1166482" y="2801764"/>
                <a:pt x="1166482" y="2801764"/>
                <a:pt x="1166482" y="2801764"/>
              </a:cubicBezTo>
              <a:cubicBezTo>
                <a:pt x="1288575" y="2817839"/>
                <a:pt x="1288575" y="2817839"/>
                <a:pt x="1288575" y="2817839"/>
              </a:cubicBezTo>
              <a:cubicBezTo>
                <a:pt x="1411604" y="2823210"/>
                <a:pt x="1411604" y="2823210"/>
                <a:pt x="1411604" y="2823210"/>
              </a:cubicBezTo>
              <a:cubicBezTo>
                <a:pt x="1411605" y="2823210"/>
                <a:pt x="1411605" y="2823210"/>
                <a:pt x="1411605" y="28232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121029</xdr:colOff>
      <xdr:row>12</xdr:row>
      <xdr:rowOff>243676</xdr:rowOff>
    </xdr:from>
    <xdr:to>
      <xdr:col>18</xdr:col>
      <xdr:colOff>352383</xdr:colOff>
      <xdr:row>14</xdr:row>
      <xdr:rowOff>55255</xdr:rowOff>
    </xdr:to>
    <xdr:sp macro="" textlink="">
      <xdr:nvSpPr>
        <xdr:cNvPr id="68" name="テキスト ボックス 67">
          <a:extLst>
            <a:ext uri="{FF2B5EF4-FFF2-40B4-BE49-F238E27FC236}">
              <a16:creationId xmlns:a16="http://schemas.microsoft.com/office/drawing/2014/main" id="{81DF2E8F-2F28-4B36-A679-D738FBF4FDC0}"/>
            </a:ext>
          </a:extLst>
        </xdr:cNvPr>
        <xdr:cNvSpPr txBox="1"/>
      </xdr:nvSpPr>
      <xdr:spPr>
        <a:xfrm>
          <a:off x="9684129" y="3367876"/>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19</xdr:col>
      <xdr:colOff>420261</xdr:colOff>
      <xdr:row>15</xdr:row>
      <xdr:rowOff>0</xdr:rowOff>
    </xdr:from>
    <xdr:to>
      <xdr:col>20</xdr:col>
      <xdr:colOff>507276</xdr:colOff>
      <xdr:row>28</xdr:row>
      <xdr:rowOff>101246</xdr:rowOff>
    </xdr:to>
    <xdr:cxnSp macro="">
      <xdr:nvCxnSpPr>
        <xdr:cNvPr id="69" name="直線コネクタ 68">
          <a:extLst>
            <a:ext uri="{FF2B5EF4-FFF2-40B4-BE49-F238E27FC236}">
              <a16:creationId xmlns:a16="http://schemas.microsoft.com/office/drawing/2014/main" id="{EECC155A-00C9-496A-BC96-ACCC1F1613BE}"/>
            </a:ext>
          </a:extLst>
        </xdr:cNvPr>
        <xdr:cNvCxnSpPr/>
      </xdr:nvCxnSpPr>
      <xdr:spPr>
        <a:xfrm flipH="1">
          <a:off x="11088261" y="3867150"/>
          <a:ext cx="639465" cy="3320696"/>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382161</xdr:colOff>
      <xdr:row>28</xdr:row>
      <xdr:rowOff>63146</xdr:rowOff>
    </xdr:from>
    <xdr:to>
      <xdr:col>19</xdr:col>
      <xdr:colOff>458361</xdr:colOff>
      <xdr:row>28</xdr:row>
      <xdr:rowOff>215546</xdr:rowOff>
    </xdr:to>
    <xdr:sp macro="" textlink="">
      <xdr:nvSpPr>
        <xdr:cNvPr id="70" name="矢印: 右 69">
          <a:extLst>
            <a:ext uri="{FF2B5EF4-FFF2-40B4-BE49-F238E27FC236}">
              <a16:creationId xmlns:a16="http://schemas.microsoft.com/office/drawing/2014/main" id="{CB086A30-A2D2-46E9-A003-28BF0665B996}"/>
            </a:ext>
          </a:extLst>
        </xdr:cNvPr>
        <xdr:cNvSpPr/>
      </xdr:nvSpPr>
      <xdr:spPr>
        <a:xfrm rot="16860000">
          <a:off x="11012061" y="7187846"/>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32290</xdr:colOff>
      <xdr:row>28</xdr:row>
      <xdr:rowOff>158866</xdr:rowOff>
    </xdr:from>
    <xdr:to>
      <xdr:col>19</xdr:col>
      <xdr:colOff>473436</xdr:colOff>
      <xdr:row>30</xdr:row>
      <xdr:rowOff>18070</xdr:rowOff>
    </xdr:to>
    <xdr:sp macro="" textlink="">
      <xdr:nvSpPr>
        <xdr:cNvPr id="71" name="テキスト ボックス 70">
          <a:extLst>
            <a:ext uri="{FF2B5EF4-FFF2-40B4-BE49-F238E27FC236}">
              <a16:creationId xmlns:a16="http://schemas.microsoft.com/office/drawing/2014/main" id="{C64623E1-1525-44CF-ABA5-D9A8744EE600}"/>
            </a:ext>
          </a:extLst>
        </xdr:cNvPr>
        <xdr:cNvSpPr txBox="1"/>
      </xdr:nvSpPr>
      <xdr:spPr>
        <a:xfrm>
          <a:off x="10700290" y="724546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119721</xdr:colOff>
      <xdr:row>23</xdr:row>
      <xdr:rowOff>31343</xdr:rowOff>
    </xdr:from>
    <xdr:to>
      <xdr:col>20</xdr:col>
      <xdr:colOff>507277</xdr:colOff>
      <xdr:row>23</xdr:row>
      <xdr:rowOff>68320</xdr:rowOff>
    </xdr:to>
    <xdr:sp macro="" textlink="">
      <xdr:nvSpPr>
        <xdr:cNvPr id="72" name="フリーフォーム: 図形 71">
          <a:extLst>
            <a:ext uri="{FF2B5EF4-FFF2-40B4-BE49-F238E27FC236}">
              <a16:creationId xmlns:a16="http://schemas.microsoft.com/office/drawing/2014/main" id="{373B0AC8-D7F8-4046-BB0F-9E54D2550EDC}"/>
            </a:ext>
          </a:extLst>
        </xdr:cNvPr>
        <xdr:cNvSpPr/>
      </xdr:nvSpPr>
      <xdr:spPr>
        <a:xfrm>
          <a:off x="11340171" y="5879693"/>
          <a:ext cx="387556" cy="36977"/>
        </a:xfrm>
        <a:custGeom>
          <a:avLst/>
          <a:gdLst/>
          <a:ahLst/>
          <a:cxnLst/>
          <a:rect l="0" t="0" r="0" b="0"/>
          <a:pathLst>
            <a:path w="387556" h="36977">
              <a:moveTo>
                <a:pt x="0" y="0"/>
              </a:moveTo>
              <a:cubicBezTo>
                <a:pt x="176880" y="26119"/>
                <a:pt x="176880" y="26119"/>
                <a:pt x="176880" y="26119"/>
              </a:cubicBezTo>
              <a:cubicBezTo>
                <a:pt x="355362" y="36723"/>
                <a:pt x="355362" y="36723"/>
                <a:pt x="355362" y="36723"/>
              </a:cubicBezTo>
              <a:cubicBezTo>
                <a:pt x="387555" y="36976"/>
                <a:pt x="387555" y="36976"/>
                <a:pt x="387555" y="3697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189349</xdr:colOff>
      <xdr:row>22</xdr:row>
      <xdr:rowOff>52553</xdr:rowOff>
    </xdr:from>
    <xdr:to>
      <xdr:col>20</xdr:col>
      <xdr:colOff>446736</xdr:colOff>
      <xdr:row>23</xdr:row>
      <xdr:rowOff>111782</xdr:rowOff>
    </xdr:to>
    <xdr:sp macro="" textlink="">
      <xdr:nvSpPr>
        <xdr:cNvPr id="73" name="テキスト ボックス 72">
          <a:extLst>
            <a:ext uri="{FF2B5EF4-FFF2-40B4-BE49-F238E27FC236}">
              <a16:creationId xmlns:a16="http://schemas.microsoft.com/office/drawing/2014/main" id="{3B53C1A9-E51E-4F1D-8365-86CDB6F27006}"/>
            </a:ext>
          </a:extLst>
        </xdr:cNvPr>
        <xdr:cNvSpPr txBox="1"/>
      </xdr:nvSpPr>
      <xdr:spPr>
        <a:xfrm>
          <a:off x="10857349" y="565325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γ=10.9[°]</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15</xdr:row>
      <xdr:rowOff>0</xdr:rowOff>
    </xdr:from>
    <xdr:to>
      <xdr:col>26</xdr:col>
      <xdr:colOff>35125</xdr:colOff>
      <xdr:row>22</xdr:row>
      <xdr:rowOff>98348</xdr:rowOff>
    </xdr:to>
    <xdr:cxnSp macro="">
      <xdr:nvCxnSpPr>
        <xdr:cNvPr id="74" name="直線コネクタ 73">
          <a:extLst>
            <a:ext uri="{FF2B5EF4-FFF2-40B4-BE49-F238E27FC236}">
              <a16:creationId xmlns:a16="http://schemas.microsoft.com/office/drawing/2014/main" id="{8F2D4F1E-764C-4044-9B6C-13D38E07F1C4}"/>
            </a:ext>
          </a:extLst>
        </xdr:cNvPr>
        <xdr:cNvCxnSpPr/>
      </xdr:nvCxnSpPr>
      <xdr:spPr>
        <a:xfrm>
          <a:off x="11727726" y="3867150"/>
          <a:ext cx="2842549" cy="1831898"/>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511375</xdr:colOff>
      <xdr:row>22</xdr:row>
      <xdr:rowOff>98348</xdr:rowOff>
    </xdr:from>
    <xdr:to>
      <xdr:col>26</xdr:col>
      <xdr:colOff>111325</xdr:colOff>
      <xdr:row>22</xdr:row>
      <xdr:rowOff>174548</xdr:rowOff>
    </xdr:to>
    <xdr:sp macro="" textlink="">
      <xdr:nvSpPr>
        <xdr:cNvPr id="75" name="矢印: 右 74">
          <a:extLst>
            <a:ext uri="{FF2B5EF4-FFF2-40B4-BE49-F238E27FC236}">
              <a16:creationId xmlns:a16="http://schemas.microsoft.com/office/drawing/2014/main" id="{9EB6C304-3AD1-49E7-87C1-5FEBF34FB1A4}"/>
            </a:ext>
          </a:extLst>
        </xdr:cNvPr>
        <xdr:cNvSpPr/>
      </xdr:nvSpPr>
      <xdr:spPr>
        <a:xfrm rot="12780000">
          <a:off x="14494075" y="5699048"/>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41878</xdr:colOff>
      <xdr:row>22</xdr:row>
      <xdr:rowOff>16189</xdr:rowOff>
    </xdr:from>
    <xdr:to>
      <xdr:col>26</xdr:col>
      <xdr:colOff>418904</xdr:colOff>
      <xdr:row>23</xdr:row>
      <xdr:rowOff>75418</xdr:rowOff>
    </xdr:to>
    <xdr:sp macro="" textlink="">
      <xdr:nvSpPr>
        <xdr:cNvPr id="76" name="テキスト ボックス 75">
          <a:extLst>
            <a:ext uri="{FF2B5EF4-FFF2-40B4-BE49-F238E27FC236}">
              <a16:creationId xmlns:a16="http://schemas.microsoft.com/office/drawing/2014/main" id="{810EE24C-3AA0-4E0C-BF91-8EF64C845D92}"/>
            </a:ext>
          </a:extLst>
        </xdr:cNvPr>
        <xdr:cNvSpPr txBox="1"/>
      </xdr:nvSpPr>
      <xdr:spPr>
        <a:xfrm>
          <a:off x="14577028" y="5616889"/>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507276</xdr:colOff>
      <xdr:row>19</xdr:row>
      <xdr:rowOff>230665</xdr:rowOff>
    </xdr:from>
    <xdr:to>
      <xdr:col>24</xdr:col>
      <xdr:colOff>192510</xdr:colOff>
      <xdr:row>24</xdr:row>
      <xdr:rowOff>25622</xdr:rowOff>
    </xdr:to>
    <xdr:sp macro="" textlink="">
      <xdr:nvSpPr>
        <xdr:cNvPr id="77" name="フリーフォーム: 図形 76">
          <a:extLst>
            <a:ext uri="{FF2B5EF4-FFF2-40B4-BE49-F238E27FC236}">
              <a16:creationId xmlns:a16="http://schemas.microsoft.com/office/drawing/2014/main" id="{FAE5C080-F7D1-431F-896B-71698CDDA7CB}"/>
            </a:ext>
          </a:extLst>
        </xdr:cNvPr>
        <xdr:cNvSpPr/>
      </xdr:nvSpPr>
      <xdr:spPr>
        <a:xfrm>
          <a:off x="11727726" y="5088415"/>
          <a:ext cx="1895034" cy="1033207"/>
        </a:xfrm>
        <a:custGeom>
          <a:avLst/>
          <a:gdLst/>
          <a:ahLst/>
          <a:cxnLst/>
          <a:rect l="0" t="0" r="0" b="0"/>
          <a:pathLst>
            <a:path w="1895034" h="1033207">
              <a:moveTo>
                <a:pt x="0" y="1033206"/>
              </a:moveTo>
              <a:cubicBezTo>
                <a:pt x="196490" y="1024627"/>
                <a:pt x="196490" y="1024627"/>
                <a:pt x="196490" y="1024627"/>
              </a:cubicBezTo>
              <a:cubicBezTo>
                <a:pt x="391485" y="998955"/>
                <a:pt x="391485" y="998955"/>
                <a:pt x="391485" y="998955"/>
              </a:cubicBezTo>
              <a:cubicBezTo>
                <a:pt x="583500" y="956387"/>
                <a:pt x="583500" y="956387"/>
                <a:pt x="583500" y="956387"/>
              </a:cubicBezTo>
              <a:cubicBezTo>
                <a:pt x="771075" y="897244"/>
                <a:pt x="771075" y="897244"/>
                <a:pt x="771075" y="897244"/>
              </a:cubicBezTo>
              <a:cubicBezTo>
                <a:pt x="952781" y="821979"/>
                <a:pt x="952781" y="821979"/>
                <a:pt x="952781" y="821979"/>
              </a:cubicBezTo>
              <a:cubicBezTo>
                <a:pt x="1127235" y="731164"/>
                <a:pt x="1127235" y="731164"/>
                <a:pt x="1127235" y="731164"/>
              </a:cubicBezTo>
              <a:cubicBezTo>
                <a:pt x="1293112" y="625489"/>
                <a:pt x="1293112" y="625489"/>
                <a:pt x="1293112" y="625489"/>
              </a:cubicBezTo>
              <a:cubicBezTo>
                <a:pt x="1449146" y="505760"/>
                <a:pt x="1449146" y="505760"/>
                <a:pt x="1449146" y="505760"/>
              </a:cubicBezTo>
              <a:cubicBezTo>
                <a:pt x="1594151" y="372887"/>
                <a:pt x="1594151" y="372887"/>
                <a:pt x="1594151" y="372887"/>
              </a:cubicBezTo>
              <a:cubicBezTo>
                <a:pt x="1727025" y="227881"/>
                <a:pt x="1727025" y="227881"/>
                <a:pt x="1727025" y="227881"/>
              </a:cubicBezTo>
              <a:cubicBezTo>
                <a:pt x="1846754" y="71847"/>
                <a:pt x="1846754" y="71847"/>
                <a:pt x="1846754" y="71847"/>
              </a:cubicBezTo>
              <a:cubicBezTo>
                <a:pt x="1895033" y="0"/>
                <a:pt x="1895033" y="0"/>
                <a:pt x="1895033"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304635</xdr:colOff>
      <xdr:row>21</xdr:row>
      <xdr:rowOff>239336</xdr:rowOff>
    </xdr:from>
    <xdr:to>
      <xdr:col>23</xdr:col>
      <xdr:colOff>73692</xdr:colOff>
      <xdr:row>23</xdr:row>
      <xdr:rowOff>50915</xdr:rowOff>
    </xdr:to>
    <xdr:sp macro="" textlink="">
      <xdr:nvSpPr>
        <xdr:cNvPr id="78" name="テキスト ボックス 77">
          <a:extLst>
            <a:ext uri="{FF2B5EF4-FFF2-40B4-BE49-F238E27FC236}">
              <a16:creationId xmlns:a16="http://schemas.microsoft.com/office/drawing/2014/main" id="{2740B5AD-82F2-4327-B7A7-973D5658AA1F}"/>
            </a:ext>
          </a:extLst>
        </xdr:cNvPr>
        <xdr:cNvSpPr txBox="1"/>
      </xdr:nvSpPr>
      <xdr:spPr>
        <a:xfrm>
          <a:off x="12077535" y="5592386"/>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γ=-57.2[°]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15</xdr:col>
      <xdr:colOff>533669</xdr:colOff>
      <xdr:row>15</xdr:row>
      <xdr:rowOff>0</xdr:rowOff>
    </xdr:from>
    <xdr:to>
      <xdr:col>20</xdr:col>
      <xdr:colOff>507276</xdr:colOff>
      <xdr:row>23</xdr:row>
      <xdr:rowOff>6517</xdr:rowOff>
    </xdr:to>
    <xdr:cxnSp macro="">
      <xdr:nvCxnSpPr>
        <xdr:cNvPr id="79" name="直線コネクタ 78">
          <a:extLst>
            <a:ext uri="{FF2B5EF4-FFF2-40B4-BE49-F238E27FC236}">
              <a16:creationId xmlns:a16="http://schemas.microsoft.com/office/drawing/2014/main" id="{A6E56E2E-54B3-456C-8DCD-473E91D0A08B}"/>
            </a:ext>
          </a:extLst>
        </xdr:cNvPr>
        <xdr:cNvCxnSpPr/>
      </xdr:nvCxnSpPr>
      <xdr:spPr>
        <a:xfrm flipH="1">
          <a:off x="8991869" y="3867150"/>
          <a:ext cx="2735857" cy="198771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457469</xdr:colOff>
      <xdr:row>23</xdr:row>
      <xdr:rowOff>6517</xdr:rowOff>
    </xdr:from>
    <xdr:to>
      <xdr:col>16</xdr:col>
      <xdr:colOff>57419</xdr:colOff>
      <xdr:row>23</xdr:row>
      <xdr:rowOff>82717</xdr:rowOff>
    </xdr:to>
    <xdr:sp macro="" textlink="">
      <xdr:nvSpPr>
        <xdr:cNvPr id="80" name="矢印: 右 79">
          <a:extLst>
            <a:ext uri="{FF2B5EF4-FFF2-40B4-BE49-F238E27FC236}">
              <a16:creationId xmlns:a16="http://schemas.microsoft.com/office/drawing/2014/main" id="{70E56AF9-64B1-470A-A2DF-9C908E975017}"/>
            </a:ext>
          </a:extLst>
        </xdr:cNvPr>
        <xdr:cNvSpPr/>
      </xdr:nvSpPr>
      <xdr:spPr>
        <a:xfrm rot="19440000">
          <a:off x="8915669" y="585486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558474</xdr:colOff>
      <xdr:row>22</xdr:row>
      <xdr:rowOff>186638</xdr:rowOff>
    </xdr:from>
    <xdr:to>
      <xdr:col>15</xdr:col>
      <xdr:colOff>390020</xdr:colOff>
      <xdr:row>23</xdr:row>
      <xdr:rowOff>245867</xdr:rowOff>
    </xdr:to>
    <xdr:sp macro="" textlink="">
      <xdr:nvSpPr>
        <xdr:cNvPr id="81" name="テキスト ボックス 80">
          <a:extLst>
            <a:ext uri="{FF2B5EF4-FFF2-40B4-BE49-F238E27FC236}">
              <a16:creationId xmlns:a16="http://schemas.microsoft.com/office/drawing/2014/main" id="{21B10E4D-8573-4E69-8172-69E7DDE11F44}"/>
            </a:ext>
          </a:extLst>
        </xdr:cNvPr>
        <xdr:cNvSpPr txBox="1"/>
      </xdr:nvSpPr>
      <xdr:spPr>
        <a:xfrm>
          <a:off x="8407074" y="5787338"/>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17</xdr:col>
      <xdr:colOff>174911</xdr:colOff>
      <xdr:row>20</xdr:row>
      <xdr:rowOff>207363</xdr:rowOff>
    </xdr:from>
    <xdr:to>
      <xdr:col>20</xdr:col>
      <xdr:colOff>507277</xdr:colOff>
      <xdr:row>24</xdr:row>
      <xdr:rowOff>230574</xdr:rowOff>
    </xdr:to>
    <xdr:sp macro="" textlink="">
      <xdr:nvSpPr>
        <xdr:cNvPr id="82" name="フリーフォーム: 図形 81">
          <a:extLst>
            <a:ext uri="{FF2B5EF4-FFF2-40B4-BE49-F238E27FC236}">
              <a16:creationId xmlns:a16="http://schemas.microsoft.com/office/drawing/2014/main" id="{85A90320-A189-40D1-A196-AE6D22B6EB45}"/>
            </a:ext>
          </a:extLst>
        </xdr:cNvPr>
        <xdr:cNvSpPr/>
      </xdr:nvSpPr>
      <xdr:spPr>
        <a:xfrm>
          <a:off x="9738011" y="5312763"/>
          <a:ext cx="1989716" cy="1013811"/>
        </a:xfrm>
        <a:custGeom>
          <a:avLst/>
          <a:gdLst/>
          <a:ahLst/>
          <a:cxnLst/>
          <a:rect l="0" t="0" r="0" b="0"/>
          <a:pathLst>
            <a:path w="1989716" h="1013811">
              <a:moveTo>
                <a:pt x="0" y="0"/>
              </a:moveTo>
              <a:cubicBezTo>
                <a:pt x="133566" y="167914"/>
                <a:pt x="133566" y="167914"/>
                <a:pt x="133566" y="167914"/>
              </a:cubicBezTo>
              <a:cubicBezTo>
                <a:pt x="281257" y="323548"/>
                <a:pt x="281257" y="323548"/>
                <a:pt x="281257" y="323548"/>
              </a:cubicBezTo>
              <a:cubicBezTo>
                <a:pt x="441951" y="465718"/>
                <a:pt x="441951" y="465718"/>
                <a:pt x="441951" y="465718"/>
              </a:cubicBezTo>
              <a:cubicBezTo>
                <a:pt x="614423" y="593341"/>
                <a:pt x="614423" y="593341"/>
                <a:pt x="614423" y="593341"/>
              </a:cubicBezTo>
              <a:cubicBezTo>
                <a:pt x="797363" y="705447"/>
                <a:pt x="797363" y="705447"/>
                <a:pt x="797363" y="705447"/>
              </a:cubicBezTo>
              <a:cubicBezTo>
                <a:pt x="989378" y="801182"/>
                <a:pt x="989378" y="801182"/>
                <a:pt x="989378" y="801182"/>
              </a:cubicBezTo>
              <a:cubicBezTo>
                <a:pt x="1189005" y="879817"/>
                <a:pt x="1189005" y="879817"/>
                <a:pt x="1189005" y="879817"/>
              </a:cubicBezTo>
              <a:cubicBezTo>
                <a:pt x="1394727" y="940755"/>
                <a:pt x="1394727" y="940755"/>
                <a:pt x="1394727" y="940755"/>
              </a:cubicBezTo>
              <a:cubicBezTo>
                <a:pt x="1604976" y="983530"/>
                <a:pt x="1604976" y="983530"/>
                <a:pt x="1604976" y="983530"/>
              </a:cubicBezTo>
              <a:cubicBezTo>
                <a:pt x="1818154" y="1007819"/>
                <a:pt x="1818154" y="1007819"/>
                <a:pt x="1818154" y="1007819"/>
              </a:cubicBezTo>
              <a:cubicBezTo>
                <a:pt x="1989715" y="1013810"/>
                <a:pt x="1989715" y="1013810"/>
                <a:pt x="1989715" y="10138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470968</xdr:colOff>
      <xdr:row>22</xdr:row>
      <xdr:rowOff>203661</xdr:rowOff>
    </xdr:from>
    <xdr:to>
      <xdr:col>19</xdr:col>
      <xdr:colOff>85752</xdr:colOff>
      <xdr:row>24</xdr:row>
      <xdr:rowOff>15240</xdr:rowOff>
    </xdr:to>
    <xdr:sp macro="" textlink="">
      <xdr:nvSpPr>
        <xdr:cNvPr id="83" name="テキスト ボックス 82">
          <a:extLst>
            <a:ext uri="{FF2B5EF4-FFF2-40B4-BE49-F238E27FC236}">
              <a16:creationId xmlns:a16="http://schemas.microsoft.com/office/drawing/2014/main" id="{C67ECEFE-090E-4152-9046-9E680F943F5C}"/>
            </a:ext>
          </a:extLst>
        </xdr:cNvPr>
        <xdr:cNvSpPr txBox="1"/>
      </xdr:nvSpPr>
      <xdr:spPr>
        <a:xfrm>
          <a:off x="10034068" y="5804361"/>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γ=54[°]</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14</xdr:col>
      <xdr:colOff>570096</xdr:colOff>
      <xdr:row>15</xdr:row>
      <xdr:rowOff>0</xdr:rowOff>
    </xdr:from>
    <xdr:to>
      <xdr:col>20</xdr:col>
      <xdr:colOff>507276</xdr:colOff>
      <xdr:row>17</xdr:row>
      <xdr:rowOff>202022</xdr:rowOff>
    </xdr:to>
    <xdr:cxnSp macro="">
      <xdr:nvCxnSpPr>
        <xdr:cNvPr id="84" name="直線コネクタ 83">
          <a:extLst>
            <a:ext uri="{FF2B5EF4-FFF2-40B4-BE49-F238E27FC236}">
              <a16:creationId xmlns:a16="http://schemas.microsoft.com/office/drawing/2014/main" id="{FFB850BB-52EA-4148-A058-21853BC4B3B5}"/>
            </a:ext>
          </a:extLst>
        </xdr:cNvPr>
        <xdr:cNvCxnSpPr/>
      </xdr:nvCxnSpPr>
      <xdr:spPr>
        <a:xfrm flipH="1">
          <a:off x="8418696" y="3867150"/>
          <a:ext cx="3309030" cy="697322"/>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493896</xdr:colOff>
      <xdr:row>17</xdr:row>
      <xdr:rowOff>202022</xdr:rowOff>
    </xdr:from>
    <xdr:to>
      <xdr:col>15</xdr:col>
      <xdr:colOff>36696</xdr:colOff>
      <xdr:row>18</xdr:row>
      <xdr:rowOff>30572</xdr:rowOff>
    </xdr:to>
    <xdr:sp macro="" textlink="">
      <xdr:nvSpPr>
        <xdr:cNvPr id="85" name="矢印: 右 84">
          <a:extLst>
            <a:ext uri="{FF2B5EF4-FFF2-40B4-BE49-F238E27FC236}">
              <a16:creationId xmlns:a16="http://schemas.microsoft.com/office/drawing/2014/main" id="{F4710822-3E0D-4177-81D1-34BCBE2DF8B0}"/>
            </a:ext>
          </a:extLst>
        </xdr:cNvPr>
        <xdr:cNvSpPr/>
      </xdr:nvSpPr>
      <xdr:spPr>
        <a:xfrm rot="20880000">
          <a:off x="8342496" y="456447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541088</xdr:colOff>
      <xdr:row>17</xdr:row>
      <xdr:rowOff>13340</xdr:rowOff>
    </xdr:from>
    <xdr:to>
      <xdr:col>14</xdr:col>
      <xdr:colOff>372634</xdr:colOff>
      <xdr:row>18</xdr:row>
      <xdr:rowOff>72569</xdr:rowOff>
    </xdr:to>
    <xdr:sp macro="" textlink="">
      <xdr:nvSpPr>
        <xdr:cNvPr id="86" name="テキスト ボックス 85">
          <a:extLst>
            <a:ext uri="{FF2B5EF4-FFF2-40B4-BE49-F238E27FC236}">
              <a16:creationId xmlns:a16="http://schemas.microsoft.com/office/drawing/2014/main" id="{406B687D-E7E1-4851-8727-AAD008BB0250}"/>
            </a:ext>
          </a:extLst>
        </xdr:cNvPr>
        <xdr:cNvSpPr txBox="1"/>
      </xdr:nvSpPr>
      <xdr:spPr>
        <a:xfrm>
          <a:off x="7780088" y="4375790"/>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16</xdr:col>
      <xdr:colOff>109962</xdr:colOff>
      <xdr:row>17</xdr:row>
      <xdr:rowOff>54105</xdr:rowOff>
    </xdr:from>
    <xdr:to>
      <xdr:col>20</xdr:col>
      <xdr:colOff>507277</xdr:colOff>
      <xdr:row>25</xdr:row>
      <xdr:rowOff>187876</xdr:rowOff>
    </xdr:to>
    <xdr:sp macro="" textlink="">
      <xdr:nvSpPr>
        <xdr:cNvPr id="87" name="フリーフォーム: 図形 86">
          <a:extLst>
            <a:ext uri="{FF2B5EF4-FFF2-40B4-BE49-F238E27FC236}">
              <a16:creationId xmlns:a16="http://schemas.microsoft.com/office/drawing/2014/main" id="{38CFE469-92E1-4B16-A417-1AB9EC442E2B}"/>
            </a:ext>
          </a:extLst>
        </xdr:cNvPr>
        <xdr:cNvSpPr/>
      </xdr:nvSpPr>
      <xdr:spPr>
        <a:xfrm>
          <a:off x="9120612" y="4416555"/>
          <a:ext cx="2607115" cy="2114971"/>
        </a:xfrm>
        <a:custGeom>
          <a:avLst/>
          <a:gdLst/>
          <a:ahLst/>
          <a:cxnLst/>
          <a:rect l="0" t="0" r="0" b="0"/>
          <a:pathLst>
            <a:path w="2607115" h="2114971">
              <a:moveTo>
                <a:pt x="0" y="0"/>
              </a:moveTo>
              <a:cubicBezTo>
                <a:pt x="57805" y="225135"/>
                <a:pt x="57805" y="225135"/>
                <a:pt x="57805" y="225135"/>
              </a:cubicBezTo>
              <a:cubicBezTo>
                <a:pt x="135011" y="444374"/>
                <a:pt x="135011" y="444374"/>
                <a:pt x="135011" y="444374"/>
              </a:cubicBezTo>
              <a:cubicBezTo>
                <a:pt x="231031" y="656050"/>
                <a:pt x="231031" y="656050"/>
                <a:pt x="231031" y="656050"/>
              </a:cubicBezTo>
              <a:cubicBezTo>
                <a:pt x="345135" y="858552"/>
                <a:pt x="345135" y="858552"/>
                <a:pt x="345135" y="858552"/>
              </a:cubicBezTo>
              <a:cubicBezTo>
                <a:pt x="476454" y="1050339"/>
                <a:pt x="476454" y="1050339"/>
                <a:pt x="476454" y="1050339"/>
              </a:cubicBezTo>
              <a:cubicBezTo>
                <a:pt x="623989" y="1229951"/>
                <a:pt x="623989" y="1229951"/>
                <a:pt x="623989" y="1229951"/>
              </a:cubicBezTo>
              <a:cubicBezTo>
                <a:pt x="786617" y="1396020"/>
                <a:pt x="786617" y="1396020"/>
                <a:pt x="786617" y="1396020"/>
              </a:cubicBezTo>
              <a:cubicBezTo>
                <a:pt x="963100" y="1547285"/>
                <a:pt x="963100" y="1547285"/>
                <a:pt x="963100" y="1547285"/>
              </a:cubicBezTo>
              <a:cubicBezTo>
                <a:pt x="1152094" y="1682591"/>
                <a:pt x="1152094" y="1682591"/>
                <a:pt x="1152094" y="1682591"/>
              </a:cubicBezTo>
              <a:cubicBezTo>
                <a:pt x="1352162" y="1800912"/>
                <a:pt x="1352162" y="1800912"/>
                <a:pt x="1352162" y="1800912"/>
              </a:cubicBezTo>
              <a:cubicBezTo>
                <a:pt x="1561781" y="1901344"/>
                <a:pt x="1561781" y="1901344"/>
                <a:pt x="1561781" y="1901344"/>
              </a:cubicBezTo>
              <a:cubicBezTo>
                <a:pt x="1779355" y="1983125"/>
                <a:pt x="1779355" y="1983125"/>
                <a:pt x="1779355" y="1983125"/>
              </a:cubicBezTo>
              <a:cubicBezTo>
                <a:pt x="2003230" y="2045632"/>
                <a:pt x="2003230" y="2045632"/>
                <a:pt x="2003230" y="2045632"/>
              </a:cubicBezTo>
              <a:cubicBezTo>
                <a:pt x="2231700" y="2088389"/>
                <a:pt x="2231700" y="2088389"/>
                <a:pt x="2231700" y="2088389"/>
              </a:cubicBezTo>
              <a:cubicBezTo>
                <a:pt x="2463027" y="2111071"/>
                <a:pt x="2463027" y="2111071"/>
                <a:pt x="2463027" y="2111071"/>
              </a:cubicBezTo>
              <a:cubicBezTo>
                <a:pt x="2607114" y="2114970"/>
                <a:pt x="2607114" y="2114970"/>
                <a:pt x="2607114" y="211497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362805</xdr:colOff>
      <xdr:row>22</xdr:row>
      <xdr:rowOff>81443</xdr:rowOff>
    </xdr:from>
    <xdr:to>
      <xdr:col>18</xdr:col>
      <xdr:colOff>67742</xdr:colOff>
      <xdr:row>23</xdr:row>
      <xdr:rowOff>140672</xdr:rowOff>
    </xdr:to>
    <xdr:sp macro="" textlink="">
      <xdr:nvSpPr>
        <xdr:cNvPr id="88" name="テキスト ボックス 87">
          <a:extLst>
            <a:ext uri="{FF2B5EF4-FFF2-40B4-BE49-F238E27FC236}">
              <a16:creationId xmlns:a16="http://schemas.microsoft.com/office/drawing/2014/main" id="{678684BB-8788-4506-B786-A1379C91D875}"/>
            </a:ext>
          </a:extLst>
        </xdr:cNvPr>
        <xdr:cNvSpPr txBox="1"/>
      </xdr:nvSpPr>
      <xdr:spPr>
        <a:xfrm>
          <a:off x="9373455" y="568214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γ=78.1[°]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268565E6-4574-42CD-86EE-C21D7E207A5B}"/>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11E21306-8D6A-4183-AFDB-BF81226D998A}"/>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8669364C-56CE-478C-A1B4-0F89F8A4918E}"/>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A1F75740-C60C-4131-A10C-8AEA9E3EEBF8}"/>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3B1DF4B5-E7CD-40E0-BE46-085D05BC41AC}"/>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F233A653-F81A-4BBD-AED7-9FDDCDAB9796}"/>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3481084F-3435-435D-8530-4DF9859F38F3}"/>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AB5DE598-B164-4588-AA8D-9A18FD842EA5}"/>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76A8D971-65D7-42B2-B20D-3D4F360314FF}"/>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5104BA8C-6C58-41AF-AE38-011E7C1C9A69}"/>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E14B71CF-020E-4BA6-8480-3235C931490D}"/>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3C585123-AB8D-4515-AD9B-7B701AEBC16C}"/>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0E39569F-4531-4538-9A3A-BBF737518D31}"/>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B6F1E5EC-4135-4F2A-8211-94753707850A}"/>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67AAB686-639B-45BA-8113-99807C8200E9}"/>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29F20B09-8CAA-4757-A6F7-181DE209EAD2}"/>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5881ABCB-2E0C-40AD-9948-AFDAB6325AAD}"/>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991727DB-6401-43C0-8319-63D842FCED1F}"/>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26567134-47F3-4C02-84DF-75F42059DBD3}"/>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DBE6BB09-7F99-4B46-8A30-03AED872D86E}"/>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9F0A7F40-6A9F-4A53-B3DB-7AE8EBDA4050}"/>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694093AC-AEBA-446B-BC96-1F45FB855CAA}"/>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3F557264-669F-4CA4-BA97-B7A4582DAF16}"/>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CFCDECF7-AF32-475A-8B42-593DCD26EFE5}"/>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772E67C1-20D2-4FD5-BB7F-0B59ECAA23AA}"/>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538E776E-7A9C-4F14-9E3F-ECEB7C41F0B0}"/>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08E94029-0E83-48DD-89D7-9E5C1E6D3717}"/>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3E116505-8DCC-46A6-A80F-615A48C8C0C1}"/>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0CC0C8EA-41BE-4792-8E31-ED3DDEDCD7B6}"/>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CA1A6CE5-29FD-4D56-A3B7-DE933EFB85B2}"/>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EE4927F1-8458-4B8D-ABAE-7A4F61348EE2}"/>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932BCF7C-811A-43C1-AAF8-62BAE92F1FD9}"/>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30BFAAB5-01E2-42DE-AB6F-993E535037A9}"/>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8457E270-A0A9-4DA3-9F23-9BC41642FD37}"/>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40913B16-7D92-43B3-B82B-A111370331C3}"/>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718ADEF4-B3BC-483B-B0F0-090D1777CEC2}"/>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A7A1C109-AE65-4F54-9EEC-9F065AD088BD}"/>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8155993F-E1E3-4C54-9EE5-EDDC8B4C365E}"/>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4A5D6DB3-A346-4B52-8E08-F1ED03C47E8A}"/>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37E129DA-DCDA-490A-B1B4-8F00DF0C57EC}"/>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008A63FE-11AE-4A2B-BF6F-E0EE25636DE0}"/>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13B01200-1635-44A4-B03D-22F65EE876B4}"/>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77BAA634-FC8D-4946-8B1A-A62859D0C5D4}"/>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CDE661AB-165D-4A97-B77F-E7907C118F52}"/>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871BDAE8-F698-4E27-B148-ED9E726CDEA4}"/>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18D0E423-143D-4E79-9F43-610B3E1F6AED}"/>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5CADD09A-05FF-4115-8EE4-AD84033ED09C}"/>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1F4F8369-AFE8-4EF0-B691-6C6EA072A904}"/>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E7476E16-C74F-486F-B9E2-FCDC2D6EA1C3}"/>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93417532-DE4C-402C-B76D-B93A9F97429F}"/>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3BC3D356-CFA6-4493-885B-6C2F95B426EB}"/>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E32C307E-8E29-49BF-A630-550AC01380B9}"/>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7699C00C-4448-4D40-A86C-6AEBD78E1319}"/>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F12C1594-112E-4311-866C-325C8873477E}"/>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596272CC-59A1-430D-AB72-EE0373A41317}"/>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F4DAD8C3-9226-46ED-9AB5-74ABC52E7658}"/>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DF3E8FDA-2238-4F65-AC08-495AE42542DB}"/>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320D5F7C-8729-4600-8455-B9B38D2F6B63}"/>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9D3B03E3-722B-4B7A-8D34-8212B4C1397E}"/>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35E98BC9-43E4-43BA-98D4-8B6EC1B9607D}"/>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31249CAC-B36C-4798-97AC-7309A4CD8E8F}"/>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F9E6D589-D0E7-41FD-884C-91975353E9EB}"/>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596F250F-6096-440F-A963-065E6B89B288}"/>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12916C8E-FE65-466A-97E3-2B98CD14834A}"/>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6C94F08D-4FCD-4069-9E75-D22E40060DD5}"/>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8D74CCC2-3F66-4D3C-B9FC-5A0EB37EBF09}"/>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10117860-CC1C-4A20-9FBE-AEC320B75534}"/>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E5D45DF7-ED75-4A00-B5CB-788A8844818C}"/>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3C96425C-2183-4C3A-993F-F0E117935EB2}"/>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7F738895-9BC0-4E02-858A-F8EFC8497C1B}"/>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E9E4582D-823A-4BAA-A0B9-ECDA209D22E0}"/>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50A175F2-029C-4F61-B3F2-B8007EAAD5BA}"/>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C47F3EE2-CDFA-436F-88C1-DA4451BE1164}"/>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85DBA58A-5EA9-43B6-B038-2BF8A98BE765}"/>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4A17F5E9-4CE8-4F47-AB22-BD878829B845}"/>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C36A8079-3E30-4602-8209-7FF6AAD55650}"/>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68BA43B5-B844-4D99-A46D-EC986B7678F5}"/>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608400FC-9EF6-4937-AE6D-B182C8E04DD8}"/>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EAD84E1C-21F9-4932-8C64-68C5758445BB}"/>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7C683C39-7FC7-4379-9445-173B4E231306}"/>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E665C81F-81A9-4B5C-8098-140DCE4C4BE8}"/>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442993DC-3D70-4FE1-8D48-8327057DFBEC}"/>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7336B3E6-A4A4-4E48-8D78-5E6999017910}"/>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605CFE25-529F-45D8-AC19-F167EE6B5BEF}"/>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6947D67D-1D79-4C13-8C96-809E1F9567B2}"/>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A1AF710B-44A3-429C-BF91-FCDEAAF0C607}"/>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33360925-C157-4E5B-BB74-F4BBF9CE5983}"/>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D40A3EF8-DAC3-4C1F-B395-98632FF3C7CC}"/>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CA72B9F3-FBCF-4CF2-BB83-02FC406EA420}"/>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01888B97-DC5E-4204-BE1E-C9594A6CA681}"/>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D9C926B8-E6AD-4A0C-A74C-2C7BDAF216FB}"/>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9A3AF261-B7E8-44F3-B2FE-DC3C4BF89E7D}"/>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38AC809B-7F8D-49E7-9BD0-5D0901F79939}"/>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26BB5025-7F0B-48E7-A788-D0B6F0BD06B9}"/>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C5C53FB0-DE82-480B-8925-F4D81FB7895A}"/>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740FF87B-21C0-4DE2-8425-009F32ED55BB}"/>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83C7A783-6A57-4AEB-A4BB-316409B40FC4}"/>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5B26F34C-83B3-4491-AB4E-0CD9E8EF14AF}"/>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6A5C9A3C-B4F8-4A2E-BC83-35E42C3FC139}"/>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D5C72DFB-F5AA-4FBF-9038-BB0D0A98F836}"/>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34058A20-4431-419D-A0F1-143446299963}"/>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58F5B1B7-5D9D-4AAB-9559-CF062E20CD54}"/>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E367458F-8000-4D9D-9417-3B8F696C7FB7}"/>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AF01267C-C1C5-49EE-903A-7DA23BCF4C06}"/>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D06045B1-6456-49B1-AB40-E811705C3E7A}"/>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F14E7003-E241-49D8-8FD9-D86A90B63B5C}"/>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B11D9921-9934-4A17-B24D-A1A18B03C340}"/>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08976328-37F4-4DF1-B714-0B1DA2C080C0}"/>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7E514B95-4BB9-47B8-9C17-FD6C548B18BF}"/>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B27B122C-EB85-45B7-ADE2-2AC2D6436F06}"/>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42300883-0CA8-4EE8-8DBC-1DC6B579D09B}"/>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BBB54EED-C7DE-4AD4-8EBD-8F8E1A342A76}"/>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2A30A2D0-317D-48B3-8A7F-6AA0E1961886}"/>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FFC02D87-C27F-4873-B91D-0E007F2BA98D}"/>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171C314E-21A2-4D09-BBFE-57E95F71F999}"/>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C6900FAF-CEFE-45E0-A252-A33337AFE2A8}"/>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5738F982-DFB3-44E8-82C1-F507EEA56EDE}"/>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F32D0CF0-3C95-4840-9A71-5650E4F868C5}"/>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DF933D7A-E749-4250-A87B-7D75D7465696}"/>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E145A361-05EC-4A62-8CA3-E8E7A4384F9F}"/>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D38D556C-2566-4091-A8B3-E560F142E317}"/>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E694A172-BBFE-4B27-ADAE-7C5346359DE9}"/>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BEBF2211-E119-4DBF-8E18-5312D5C256AD}"/>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278C97AE-453A-449A-8D66-80AADEEE2B33}"/>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0D469B1F-4F92-445E-8868-8C1FD60844FD}"/>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13C7E235-DFFD-4D27-9389-832715799F61}"/>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001DEF3E-54C5-42B8-9733-3902AFB39E60}"/>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357486BB-0424-4869-B729-1C74AF167E2E}"/>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8728EFF4-E397-41CE-AB4D-810B7B626101}"/>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A53257F6-5582-4ED0-933D-D0C59B37B68E}"/>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B5FFCAD5-2664-462A-8619-1CE95E57D0E1}"/>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6856C6F9-D618-479A-BB97-CEE3180EED44}"/>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176927</xdr:colOff>
      <xdr:row>118</xdr:row>
      <xdr:rowOff>144538</xdr:rowOff>
    </xdr:from>
    <xdr:to>
      <xdr:col>6</xdr:col>
      <xdr:colOff>1117044</xdr:colOff>
      <xdr:row>121</xdr:row>
      <xdr:rowOff>128589</xdr:rowOff>
    </xdr:to>
    <xdr:sp macro="" textlink="">
      <xdr:nvSpPr>
        <xdr:cNvPr id="138" name="正方形/長方形 137">
          <a:extLst>
            <a:ext uri="{FF2B5EF4-FFF2-40B4-BE49-F238E27FC236}">
              <a16:creationId xmlns:a16="http://schemas.microsoft.com/office/drawing/2014/main" id="{9074FA44-B5E0-4AEA-9A71-291E361768F2}"/>
            </a:ext>
          </a:extLst>
        </xdr:cNvPr>
        <xdr:cNvSpPr/>
      </xdr:nvSpPr>
      <xdr:spPr>
        <a:xfrm>
          <a:off x="5177552" y="20347063"/>
          <a:ext cx="940117" cy="498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166467</xdr:rowOff>
    </xdr:from>
    <xdr:to>
      <xdr:col>6</xdr:col>
      <xdr:colOff>1117044</xdr:colOff>
      <xdr:row>118</xdr:row>
      <xdr:rowOff>144538</xdr:rowOff>
    </xdr:to>
    <xdr:sp macro="" textlink="">
      <xdr:nvSpPr>
        <xdr:cNvPr id="136" name="正方形/長方形 135">
          <a:extLst>
            <a:ext uri="{FF2B5EF4-FFF2-40B4-BE49-F238E27FC236}">
              <a16:creationId xmlns:a16="http://schemas.microsoft.com/office/drawing/2014/main" id="{E64308B2-EFDD-4DBB-B365-1FBD891BBC65}"/>
            </a:ext>
          </a:extLst>
        </xdr:cNvPr>
        <xdr:cNvSpPr/>
      </xdr:nvSpPr>
      <xdr:spPr>
        <a:xfrm>
          <a:off x="5177552" y="20197542"/>
          <a:ext cx="940117" cy="149521"/>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16946</xdr:rowOff>
    </xdr:from>
    <xdr:to>
      <xdr:col>6</xdr:col>
      <xdr:colOff>1117044</xdr:colOff>
      <xdr:row>117</xdr:row>
      <xdr:rowOff>166467</xdr:rowOff>
    </xdr:to>
    <xdr:sp macro="" textlink="">
      <xdr:nvSpPr>
        <xdr:cNvPr id="134" name="正方形/長方形 133">
          <a:extLst>
            <a:ext uri="{FF2B5EF4-FFF2-40B4-BE49-F238E27FC236}">
              <a16:creationId xmlns:a16="http://schemas.microsoft.com/office/drawing/2014/main" id="{9AB7B54B-FA49-4F75-B136-E9853CB894E2}"/>
            </a:ext>
          </a:extLst>
        </xdr:cNvPr>
        <xdr:cNvSpPr/>
      </xdr:nvSpPr>
      <xdr:spPr>
        <a:xfrm>
          <a:off x="5177552" y="20048021"/>
          <a:ext cx="940117" cy="1495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82734</xdr:rowOff>
    </xdr:from>
    <xdr:to>
      <xdr:col>6</xdr:col>
      <xdr:colOff>1117044</xdr:colOff>
      <xdr:row>115</xdr:row>
      <xdr:rowOff>60806</xdr:rowOff>
    </xdr:to>
    <xdr:sp macro="" textlink="">
      <xdr:nvSpPr>
        <xdr:cNvPr id="131" name="正方形/長方形 130">
          <a:extLst>
            <a:ext uri="{FF2B5EF4-FFF2-40B4-BE49-F238E27FC236}">
              <a16:creationId xmlns:a16="http://schemas.microsoft.com/office/drawing/2014/main" id="{251076CD-28C7-470D-B5F6-D1B1BCB0A568}"/>
            </a:ext>
          </a:extLst>
        </xdr:cNvPr>
        <xdr:cNvSpPr/>
      </xdr:nvSpPr>
      <xdr:spPr>
        <a:xfrm>
          <a:off x="5177552" y="19599459"/>
          <a:ext cx="940117" cy="149522"/>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52831</xdr:rowOff>
    </xdr:from>
    <xdr:to>
      <xdr:col>6</xdr:col>
      <xdr:colOff>1117044</xdr:colOff>
      <xdr:row>114</xdr:row>
      <xdr:rowOff>82734</xdr:rowOff>
    </xdr:to>
    <xdr:sp macro="" textlink="">
      <xdr:nvSpPr>
        <xdr:cNvPr id="129" name="正方形/長方形 128">
          <a:extLst>
            <a:ext uri="{FF2B5EF4-FFF2-40B4-BE49-F238E27FC236}">
              <a16:creationId xmlns:a16="http://schemas.microsoft.com/office/drawing/2014/main" id="{6A89ADF2-124C-4D08-ADC3-05940EE41E43}"/>
            </a:ext>
          </a:extLst>
        </xdr:cNvPr>
        <xdr:cNvSpPr/>
      </xdr:nvSpPr>
      <xdr:spPr>
        <a:xfrm>
          <a:off x="5177552" y="19569556"/>
          <a:ext cx="940117" cy="29903"/>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42863</xdr:rowOff>
    </xdr:from>
    <xdr:to>
      <xdr:col>6</xdr:col>
      <xdr:colOff>1117044</xdr:colOff>
      <xdr:row>114</xdr:row>
      <xdr:rowOff>52831</xdr:rowOff>
    </xdr:to>
    <xdr:sp macro="" textlink="">
      <xdr:nvSpPr>
        <xdr:cNvPr id="127" name="正方形/長方形 126">
          <a:extLst>
            <a:ext uri="{FF2B5EF4-FFF2-40B4-BE49-F238E27FC236}">
              <a16:creationId xmlns:a16="http://schemas.microsoft.com/office/drawing/2014/main" id="{2DF1CD28-39C4-40F5-8CE2-5AFDE0D071EF}"/>
            </a:ext>
          </a:extLst>
        </xdr:cNvPr>
        <xdr:cNvSpPr/>
      </xdr:nvSpPr>
      <xdr:spPr>
        <a:xfrm>
          <a:off x="5177552" y="19559588"/>
          <a:ext cx="940117" cy="9968"/>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134</xdr:row>
      <xdr:rowOff>48985</xdr:rowOff>
    </xdr:from>
    <xdr:to>
      <xdr:col>0</xdr:col>
      <xdr:colOff>1117044</xdr:colOff>
      <xdr:row>138</xdr:row>
      <xdr:rowOff>128586</xdr:rowOff>
    </xdr:to>
    <xdr:sp macro="" textlink="">
      <xdr:nvSpPr>
        <xdr:cNvPr id="124" name="正方形/長方形 123">
          <a:extLst>
            <a:ext uri="{FF2B5EF4-FFF2-40B4-BE49-F238E27FC236}">
              <a16:creationId xmlns:a16="http://schemas.microsoft.com/office/drawing/2014/main" id="{377E3C03-166B-43AB-912D-BF56AF47A9EC}"/>
            </a:ext>
          </a:extLst>
        </xdr:cNvPr>
        <xdr:cNvSpPr/>
      </xdr:nvSpPr>
      <xdr:spPr>
        <a:xfrm>
          <a:off x="176927" y="22994710"/>
          <a:ext cx="940117" cy="765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132</xdr:row>
      <xdr:rowOff>162265</xdr:rowOff>
    </xdr:from>
    <xdr:to>
      <xdr:col>0</xdr:col>
      <xdr:colOff>1117044</xdr:colOff>
      <xdr:row>134</xdr:row>
      <xdr:rowOff>48985</xdr:rowOff>
    </xdr:to>
    <xdr:sp macro="" textlink="">
      <xdr:nvSpPr>
        <xdr:cNvPr id="122" name="正方形/長方形 121">
          <a:extLst>
            <a:ext uri="{FF2B5EF4-FFF2-40B4-BE49-F238E27FC236}">
              <a16:creationId xmlns:a16="http://schemas.microsoft.com/office/drawing/2014/main" id="{410CBA8D-670E-446C-BF00-2273FC175DFC}"/>
            </a:ext>
          </a:extLst>
        </xdr:cNvPr>
        <xdr:cNvSpPr/>
      </xdr:nvSpPr>
      <xdr:spPr>
        <a:xfrm>
          <a:off x="176927" y="22765090"/>
          <a:ext cx="940117" cy="229620"/>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104094</xdr:rowOff>
    </xdr:from>
    <xdr:to>
      <xdr:col>0</xdr:col>
      <xdr:colOff>1117044</xdr:colOff>
      <xdr:row>132</xdr:row>
      <xdr:rowOff>162265</xdr:rowOff>
    </xdr:to>
    <xdr:sp macro="" textlink="">
      <xdr:nvSpPr>
        <xdr:cNvPr id="120" name="正方形/長方形 119">
          <a:extLst>
            <a:ext uri="{FF2B5EF4-FFF2-40B4-BE49-F238E27FC236}">
              <a16:creationId xmlns:a16="http://schemas.microsoft.com/office/drawing/2014/main" id="{E6985804-48DF-4B53-A210-19626475B7F7}"/>
            </a:ext>
          </a:extLst>
        </xdr:cNvPr>
        <xdr:cNvSpPr/>
      </xdr:nvSpPr>
      <xdr:spPr>
        <a:xfrm>
          <a:off x="176927" y="22535469"/>
          <a:ext cx="940117" cy="2296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58170</xdr:rowOff>
    </xdr:from>
    <xdr:to>
      <xdr:col>0</xdr:col>
      <xdr:colOff>1117044</xdr:colOff>
      <xdr:row>131</xdr:row>
      <xdr:rowOff>104094</xdr:rowOff>
    </xdr:to>
    <xdr:sp macro="" textlink="">
      <xdr:nvSpPr>
        <xdr:cNvPr id="118" name="正方形/長方形 117">
          <a:extLst>
            <a:ext uri="{FF2B5EF4-FFF2-40B4-BE49-F238E27FC236}">
              <a16:creationId xmlns:a16="http://schemas.microsoft.com/office/drawing/2014/main" id="{1AE9F1BF-D7D2-40DE-A786-BB26A3956117}"/>
            </a:ext>
          </a:extLst>
        </xdr:cNvPr>
        <xdr:cNvSpPr/>
      </xdr:nvSpPr>
      <xdr:spPr>
        <a:xfrm>
          <a:off x="176927" y="22489545"/>
          <a:ext cx="940117" cy="45924"/>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42863</xdr:rowOff>
    </xdr:from>
    <xdr:to>
      <xdr:col>0</xdr:col>
      <xdr:colOff>1117044</xdr:colOff>
      <xdr:row>131</xdr:row>
      <xdr:rowOff>58170</xdr:rowOff>
    </xdr:to>
    <xdr:sp macro="" textlink="">
      <xdr:nvSpPr>
        <xdr:cNvPr id="116" name="正方形/長方形 115">
          <a:extLst>
            <a:ext uri="{FF2B5EF4-FFF2-40B4-BE49-F238E27FC236}">
              <a16:creationId xmlns:a16="http://schemas.microsoft.com/office/drawing/2014/main" id="{904AB976-713E-4553-A855-FBA19818070B}"/>
            </a:ext>
          </a:extLst>
        </xdr:cNvPr>
        <xdr:cNvSpPr/>
      </xdr:nvSpPr>
      <xdr:spPr>
        <a:xfrm>
          <a:off x="176927" y="22474238"/>
          <a:ext cx="940117" cy="1530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115</xdr:row>
      <xdr:rowOff>47625</xdr:rowOff>
    </xdr:from>
    <xdr:to>
      <xdr:col>0</xdr:col>
      <xdr:colOff>1117044</xdr:colOff>
      <xdr:row>118</xdr:row>
      <xdr:rowOff>104775</xdr:rowOff>
    </xdr:to>
    <xdr:sp macro="" textlink="">
      <xdr:nvSpPr>
        <xdr:cNvPr id="112" name="正方形/長方形 111">
          <a:extLst>
            <a:ext uri="{FF2B5EF4-FFF2-40B4-BE49-F238E27FC236}">
              <a16:creationId xmlns:a16="http://schemas.microsoft.com/office/drawing/2014/main" id="{8143FC95-A4B3-4CE2-8E78-27B10B6E25C0}"/>
            </a:ext>
          </a:extLst>
        </xdr:cNvPr>
        <xdr:cNvSpPr/>
      </xdr:nvSpPr>
      <xdr:spPr>
        <a:xfrm>
          <a:off x="176927" y="19735800"/>
          <a:ext cx="940117" cy="571500"/>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104775</xdr:rowOff>
    </xdr:from>
    <xdr:to>
      <xdr:col>0</xdr:col>
      <xdr:colOff>1117044</xdr:colOff>
      <xdr:row>115</xdr:row>
      <xdr:rowOff>47625</xdr:rowOff>
    </xdr:to>
    <xdr:sp macro="" textlink="">
      <xdr:nvSpPr>
        <xdr:cNvPr id="110" name="正方形/長方形 109">
          <a:extLst>
            <a:ext uri="{FF2B5EF4-FFF2-40B4-BE49-F238E27FC236}">
              <a16:creationId xmlns:a16="http://schemas.microsoft.com/office/drawing/2014/main" id="{BEEB8BA9-FACA-4EBC-9148-B3CC7A824996}"/>
            </a:ext>
          </a:extLst>
        </xdr:cNvPr>
        <xdr:cNvSpPr/>
      </xdr:nvSpPr>
      <xdr:spPr>
        <a:xfrm>
          <a:off x="176927" y="19621500"/>
          <a:ext cx="940117" cy="11430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66675</xdr:rowOff>
    </xdr:from>
    <xdr:to>
      <xdr:col>0</xdr:col>
      <xdr:colOff>1117044</xdr:colOff>
      <xdr:row>114</xdr:row>
      <xdr:rowOff>104775</xdr:rowOff>
    </xdr:to>
    <xdr:sp macro="" textlink="">
      <xdr:nvSpPr>
        <xdr:cNvPr id="108" name="正方形/長方形 107">
          <a:extLst>
            <a:ext uri="{FF2B5EF4-FFF2-40B4-BE49-F238E27FC236}">
              <a16:creationId xmlns:a16="http://schemas.microsoft.com/office/drawing/2014/main" id="{105D6348-842E-4C35-97FC-CF934A535EFC}"/>
            </a:ext>
          </a:extLst>
        </xdr:cNvPr>
        <xdr:cNvSpPr/>
      </xdr:nvSpPr>
      <xdr:spPr>
        <a:xfrm>
          <a:off x="176927" y="19583400"/>
          <a:ext cx="940117" cy="3810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85725</xdr:rowOff>
    </xdr:from>
    <xdr:to>
      <xdr:col>6</xdr:col>
      <xdr:colOff>1117044</xdr:colOff>
      <xdr:row>99</xdr:row>
      <xdr:rowOff>123825</xdr:rowOff>
    </xdr:to>
    <xdr:sp macro="" textlink="">
      <xdr:nvSpPr>
        <xdr:cNvPr id="104" name="正方形/長方形 103">
          <a:extLst>
            <a:ext uri="{FF2B5EF4-FFF2-40B4-BE49-F238E27FC236}">
              <a16:creationId xmlns:a16="http://schemas.microsoft.com/office/drawing/2014/main" id="{9E91667F-C959-4C24-935C-985D293DC75D}"/>
            </a:ext>
          </a:extLst>
        </xdr:cNvPr>
        <xdr:cNvSpPr/>
      </xdr:nvSpPr>
      <xdr:spPr>
        <a:xfrm>
          <a:off x="5177552" y="170307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47625</xdr:rowOff>
    </xdr:from>
    <xdr:to>
      <xdr:col>6</xdr:col>
      <xdr:colOff>1117044</xdr:colOff>
      <xdr:row>99</xdr:row>
      <xdr:rowOff>85725</xdr:rowOff>
    </xdr:to>
    <xdr:sp macro="" textlink="">
      <xdr:nvSpPr>
        <xdr:cNvPr id="102" name="正方形/長方形 101">
          <a:extLst>
            <a:ext uri="{FF2B5EF4-FFF2-40B4-BE49-F238E27FC236}">
              <a16:creationId xmlns:a16="http://schemas.microsoft.com/office/drawing/2014/main" id="{DC0AF977-3FDB-40E0-9799-5D49C2A753E5}"/>
            </a:ext>
          </a:extLst>
        </xdr:cNvPr>
        <xdr:cNvSpPr/>
      </xdr:nvSpPr>
      <xdr:spPr>
        <a:xfrm>
          <a:off x="5177552" y="169926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84</xdr:row>
      <xdr:rowOff>113156</xdr:rowOff>
    </xdr:from>
    <xdr:to>
      <xdr:col>6</xdr:col>
      <xdr:colOff>1117044</xdr:colOff>
      <xdr:row>84</xdr:row>
      <xdr:rowOff>128586</xdr:rowOff>
    </xdr:to>
    <xdr:sp macro="" textlink="">
      <xdr:nvSpPr>
        <xdr:cNvPr id="98" name="正方形/長方形 97">
          <a:extLst>
            <a:ext uri="{FF2B5EF4-FFF2-40B4-BE49-F238E27FC236}">
              <a16:creationId xmlns:a16="http://schemas.microsoft.com/office/drawing/2014/main" id="{E26B7150-6DE9-4FB9-ADBA-954EBEF6256C}"/>
            </a:ext>
          </a:extLst>
        </xdr:cNvPr>
        <xdr:cNvSpPr/>
      </xdr:nvSpPr>
      <xdr:spPr>
        <a:xfrm>
          <a:off x="5177552" y="14486381"/>
          <a:ext cx="940117" cy="1543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104584</xdr:rowOff>
    </xdr:from>
    <xdr:to>
      <xdr:col>6</xdr:col>
      <xdr:colOff>1117044</xdr:colOff>
      <xdr:row>81</xdr:row>
      <xdr:rowOff>164592</xdr:rowOff>
    </xdr:to>
    <xdr:sp macro="" textlink="">
      <xdr:nvSpPr>
        <xdr:cNvPr id="95" name="正方形/長方形 94">
          <a:extLst>
            <a:ext uri="{FF2B5EF4-FFF2-40B4-BE49-F238E27FC236}">
              <a16:creationId xmlns:a16="http://schemas.microsoft.com/office/drawing/2014/main" id="{DFA2FFE1-005C-493D-BA49-77921AD0E898}"/>
            </a:ext>
          </a:extLst>
        </xdr:cNvPr>
        <xdr:cNvSpPr/>
      </xdr:nvSpPr>
      <xdr:spPr>
        <a:xfrm>
          <a:off x="5177552" y="13792009"/>
          <a:ext cx="940117" cy="231458"/>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58293</xdr:rowOff>
    </xdr:from>
    <xdr:to>
      <xdr:col>6</xdr:col>
      <xdr:colOff>1117044</xdr:colOff>
      <xdr:row>80</xdr:row>
      <xdr:rowOff>104584</xdr:rowOff>
    </xdr:to>
    <xdr:sp macro="" textlink="">
      <xdr:nvSpPr>
        <xdr:cNvPr id="93" name="正方形/長方形 92">
          <a:extLst>
            <a:ext uri="{FF2B5EF4-FFF2-40B4-BE49-F238E27FC236}">
              <a16:creationId xmlns:a16="http://schemas.microsoft.com/office/drawing/2014/main" id="{43DC4716-5031-4088-BF50-52DBE46FD24C}"/>
            </a:ext>
          </a:extLst>
        </xdr:cNvPr>
        <xdr:cNvSpPr/>
      </xdr:nvSpPr>
      <xdr:spPr>
        <a:xfrm>
          <a:off x="5177552" y="13745718"/>
          <a:ext cx="940117" cy="46291"/>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42863</xdr:rowOff>
    </xdr:from>
    <xdr:to>
      <xdr:col>6</xdr:col>
      <xdr:colOff>1117044</xdr:colOff>
      <xdr:row>80</xdr:row>
      <xdr:rowOff>58293</xdr:rowOff>
    </xdr:to>
    <xdr:sp macro="" textlink="">
      <xdr:nvSpPr>
        <xdr:cNvPr id="91" name="正方形/長方形 90">
          <a:extLst>
            <a:ext uri="{FF2B5EF4-FFF2-40B4-BE49-F238E27FC236}">
              <a16:creationId xmlns:a16="http://schemas.microsoft.com/office/drawing/2014/main" id="{D7D08598-1038-4B92-9F71-93CEE0E0C6DC}"/>
            </a:ext>
          </a:extLst>
        </xdr:cNvPr>
        <xdr:cNvSpPr/>
      </xdr:nvSpPr>
      <xdr:spPr>
        <a:xfrm>
          <a:off x="5177552" y="13730288"/>
          <a:ext cx="940117" cy="1543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116342</xdr:rowOff>
    </xdr:from>
    <xdr:to>
      <xdr:col>6</xdr:col>
      <xdr:colOff>1117044</xdr:colOff>
      <xdr:row>50</xdr:row>
      <xdr:rowOff>128588</xdr:rowOff>
    </xdr:to>
    <xdr:sp macro="" textlink="">
      <xdr:nvSpPr>
        <xdr:cNvPr id="60" name="正方形/長方形 59">
          <a:extLst>
            <a:ext uri="{FF2B5EF4-FFF2-40B4-BE49-F238E27FC236}">
              <a16:creationId xmlns:a16="http://schemas.microsoft.com/office/drawing/2014/main" id="{413F4A65-2AC2-45A7-A759-E5D2992D4A89}"/>
            </a:ext>
          </a:extLst>
        </xdr:cNvPr>
        <xdr:cNvSpPr/>
      </xdr:nvSpPr>
      <xdr:spPr>
        <a:xfrm>
          <a:off x="5177552" y="8660267"/>
          <a:ext cx="940117" cy="12246"/>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104095</xdr:rowOff>
    </xdr:from>
    <xdr:to>
      <xdr:col>6</xdr:col>
      <xdr:colOff>1117044</xdr:colOff>
      <xdr:row>50</xdr:row>
      <xdr:rowOff>116342</xdr:rowOff>
    </xdr:to>
    <xdr:sp macro="" textlink="">
      <xdr:nvSpPr>
        <xdr:cNvPr id="58" name="正方形/長方形 57">
          <a:extLst>
            <a:ext uri="{FF2B5EF4-FFF2-40B4-BE49-F238E27FC236}">
              <a16:creationId xmlns:a16="http://schemas.microsoft.com/office/drawing/2014/main" id="{040A40FF-FED2-4788-A5B8-598BEDDAE621}"/>
            </a:ext>
          </a:extLst>
        </xdr:cNvPr>
        <xdr:cNvSpPr/>
      </xdr:nvSpPr>
      <xdr:spPr>
        <a:xfrm>
          <a:off x="5177552" y="8648020"/>
          <a:ext cx="940117" cy="12247"/>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67356</xdr:rowOff>
    </xdr:from>
    <xdr:to>
      <xdr:col>6</xdr:col>
      <xdr:colOff>1117044</xdr:colOff>
      <xdr:row>48</xdr:row>
      <xdr:rowOff>79602</xdr:rowOff>
    </xdr:to>
    <xdr:sp macro="" textlink="">
      <xdr:nvSpPr>
        <xdr:cNvPr id="55" name="正方形/長方形 54">
          <a:extLst>
            <a:ext uri="{FF2B5EF4-FFF2-40B4-BE49-F238E27FC236}">
              <a16:creationId xmlns:a16="http://schemas.microsoft.com/office/drawing/2014/main" id="{23E8333D-30D7-4906-ABEE-E4EF835716DE}"/>
            </a:ext>
          </a:extLst>
        </xdr:cNvPr>
        <xdr:cNvSpPr/>
      </xdr:nvSpPr>
      <xdr:spPr>
        <a:xfrm>
          <a:off x="5177552" y="8096931"/>
          <a:ext cx="940117" cy="183696"/>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55109</xdr:rowOff>
    </xdr:from>
    <xdr:to>
      <xdr:col>6</xdr:col>
      <xdr:colOff>1117044</xdr:colOff>
      <xdr:row>47</xdr:row>
      <xdr:rowOff>67356</xdr:rowOff>
    </xdr:to>
    <xdr:sp macro="" textlink="">
      <xdr:nvSpPr>
        <xdr:cNvPr id="53" name="正方形/長方形 52">
          <a:extLst>
            <a:ext uri="{FF2B5EF4-FFF2-40B4-BE49-F238E27FC236}">
              <a16:creationId xmlns:a16="http://schemas.microsoft.com/office/drawing/2014/main" id="{042E9D55-91C2-4D1C-BDF6-24691DFBB5C6}"/>
            </a:ext>
          </a:extLst>
        </xdr:cNvPr>
        <xdr:cNvSpPr/>
      </xdr:nvSpPr>
      <xdr:spPr>
        <a:xfrm>
          <a:off x="5177552" y="8084684"/>
          <a:ext cx="940117" cy="1224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165327</xdr:rowOff>
    </xdr:from>
    <xdr:to>
      <xdr:col>6</xdr:col>
      <xdr:colOff>1117044</xdr:colOff>
      <xdr:row>47</xdr:row>
      <xdr:rowOff>55109</xdr:rowOff>
    </xdr:to>
    <xdr:sp macro="" textlink="">
      <xdr:nvSpPr>
        <xdr:cNvPr id="51" name="正方形/長方形 50">
          <a:extLst>
            <a:ext uri="{FF2B5EF4-FFF2-40B4-BE49-F238E27FC236}">
              <a16:creationId xmlns:a16="http://schemas.microsoft.com/office/drawing/2014/main" id="{6721D0C0-3E02-409E-A782-F24EB2BC7C1B}"/>
            </a:ext>
          </a:extLst>
        </xdr:cNvPr>
        <xdr:cNvSpPr/>
      </xdr:nvSpPr>
      <xdr:spPr>
        <a:xfrm>
          <a:off x="5177552" y="8023452"/>
          <a:ext cx="940117" cy="61232"/>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42863</xdr:rowOff>
    </xdr:from>
    <xdr:to>
      <xdr:col>6</xdr:col>
      <xdr:colOff>1117044</xdr:colOff>
      <xdr:row>46</xdr:row>
      <xdr:rowOff>165327</xdr:rowOff>
    </xdr:to>
    <xdr:sp macro="" textlink="">
      <xdr:nvSpPr>
        <xdr:cNvPr id="49" name="正方形/長方形 48">
          <a:extLst>
            <a:ext uri="{FF2B5EF4-FFF2-40B4-BE49-F238E27FC236}">
              <a16:creationId xmlns:a16="http://schemas.microsoft.com/office/drawing/2014/main" id="{283FAEA9-FF2A-4EC2-8844-812608BF5C66}"/>
            </a:ext>
          </a:extLst>
        </xdr:cNvPr>
        <xdr:cNvSpPr/>
      </xdr:nvSpPr>
      <xdr:spPr>
        <a:xfrm>
          <a:off x="5177552" y="7900988"/>
          <a:ext cx="940117" cy="122464"/>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67</xdr:row>
      <xdr:rowOff>116143</xdr:rowOff>
    </xdr:from>
    <xdr:to>
      <xdr:col>0</xdr:col>
      <xdr:colOff>1117044</xdr:colOff>
      <xdr:row>67</xdr:row>
      <xdr:rowOff>128588</xdr:rowOff>
    </xdr:to>
    <xdr:sp macro="" textlink="">
      <xdr:nvSpPr>
        <xdr:cNvPr id="45" name="正方形/長方形 44">
          <a:extLst>
            <a:ext uri="{FF2B5EF4-FFF2-40B4-BE49-F238E27FC236}">
              <a16:creationId xmlns:a16="http://schemas.microsoft.com/office/drawing/2014/main" id="{6D13C5FD-835E-47F5-A790-487F0695473E}"/>
            </a:ext>
          </a:extLst>
        </xdr:cNvPr>
        <xdr:cNvSpPr/>
      </xdr:nvSpPr>
      <xdr:spPr>
        <a:xfrm>
          <a:off x="176927" y="11574718"/>
          <a:ext cx="940117" cy="12445"/>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70516</xdr:rowOff>
    </xdr:from>
    <xdr:to>
      <xdr:col>0</xdr:col>
      <xdr:colOff>1117044</xdr:colOff>
      <xdr:row>65</xdr:row>
      <xdr:rowOff>85725</xdr:rowOff>
    </xdr:to>
    <xdr:sp macro="" textlink="">
      <xdr:nvSpPr>
        <xdr:cNvPr id="42" name="正方形/長方形 41">
          <a:extLst>
            <a:ext uri="{FF2B5EF4-FFF2-40B4-BE49-F238E27FC236}">
              <a16:creationId xmlns:a16="http://schemas.microsoft.com/office/drawing/2014/main" id="{E077CC9E-7064-4D44-8A05-CDE03E2C4C94}"/>
            </a:ext>
          </a:extLst>
        </xdr:cNvPr>
        <xdr:cNvSpPr/>
      </xdr:nvSpPr>
      <xdr:spPr>
        <a:xfrm>
          <a:off x="176927" y="11014741"/>
          <a:ext cx="940117" cy="18665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58072</xdr:rowOff>
    </xdr:from>
    <xdr:to>
      <xdr:col>0</xdr:col>
      <xdr:colOff>1117044</xdr:colOff>
      <xdr:row>64</xdr:row>
      <xdr:rowOff>70516</xdr:rowOff>
    </xdr:to>
    <xdr:sp macro="" textlink="">
      <xdr:nvSpPr>
        <xdr:cNvPr id="40" name="正方形/長方形 39">
          <a:extLst>
            <a:ext uri="{FF2B5EF4-FFF2-40B4-BE49-F238E27FC236}">
              <a16:creationId xmlns:a16="http://schemas.microsoft.com/office/drawing/2014/main" id="{F75EBFE4-37E3-4ED3-BE2F-5840079C8858}"/>
            </a:ext>
          </a:extLst>
        </xdr:cNvPr>
        <xdr:cNvSpPr/>
      </xdr:nvSpPr>
      <xdr:spPr>
        <a:xfrm>
          <a:off x="176927" y="11002297"/>
          <a:ext cx="940117" cy="12444"/>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167302</xdr:rowOff>
    </xdr:from>
    <xdr:to>
      <xdr:col>0</xdr:col>
      <xdr:colOff>1117044</xdr:colOff>
      <xdr:row>64</xdr:row>
      <xdr:rowOff>58072</xdr:rowOff>
    </xdr:to>
    <xdr:sp macro="" textlink="">
      <xdr:nvSpPr>
        <xdr:cNvPr id="38" name="正方形/長方形 37">
          <a:extLst>
            <a:ext uri="{FF2B5EF4-FFF2-40B4-BE49-F238E27FC236}">
              <a16:creationId xmlns:a16="http://schemas.microsoft.com/office/drawing/2014/main" id="{FA37FF01-2FDC-45A9-8840-900CFFA7F279}"/>
            </a:ext>
          </a:extLst>
        </xdr:cNvPr>
        <xdr:cNvSpPr/>
      </xdr:nvSpPr>
      <xdr:spPr>
        <a:xfrm>
          <a:off x="176927" y="10940077"/>
          <a:ext cx="940117" cy="6222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42863</xdr:rowOff>
    </xdr:from>
    <xdr:to>
      <xdr:col>0</xdr:col>
      <xdr:colOff>1117044</xdr:colOff>
      <xdr:row>63</xdr:row>
      <xdr:rowOff>167302</xdr:rowOff>
    </xdr:to>
    <xdr:sp macro="" textlink="">
      <xdr:nvSpPr>
        <xdr:cNvPr id="36" name="正方形/長方形 35">
          <a:extLst>
            <a:ext uri="{FF2B5EF4-FFF2-40B4-BE49-F238E27FC236}">
              <a16:creationId xmlns:a16="http://schemas.microsoft.com/office/drawing/2014/main" id="{3E8B2CFC-75BA-4249-AFB4-E85B86B103C3}"/>
            </a:ext>
          </a:extLst>
        </xdr:cNvPr>
        <xdr:cNvSpPr/>
      </xdr:nvSpPr>
      <xdr:spPr>
        <a:xfrm>
          <a:off x="176927" y="10815638"/>
          <a:ext cx="940117" cy="12443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6713</xdr:colOff>
      <xdr:row>13</xdr:row>
      <xdr:rowOff>97474</xdr:rowOff>
    </xdr:from>
    <xdr:to>
      <xdr:col>0</xdr:col>
      <xdr:colOff>394448</xdr:colOff>
      <xdr:row>16</xdr:row>
      <xdr:rowOff>81594</xdr:rowOff>
    </xdr:to>
    <xdr:sp macro="" textlink="">
      <xdr:nvSpPr>
        <xdr:cNvPr id="2" name="テキスト ボックス 1">
          <a:extLst>
            <a:ext uri="{FF2B5EF4-FFF2-40B4-BE49-F238E27FC236}">
              <a16:creationId xmlns:a16="http://schemas.microsoft.com/office/drawing/2014/main" id="{34EE23BC-B494-453F-88C6-0B570B10DB23}"/>
            </a:ext>
          </a:extLst>
        </xdr:cNvPr>
        <xdr:cNvSpPr txBox="1"/>
      </xdr:nvSpPr>
      <xdr:spPr>
        <a:xfrm>
          <a:off x="6713"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11</xdr:row>
      <xdr:rowOff>3810</xdr:rowOff>
    </xdr:from>
    <xdr:to>
      <xdr:col>0</xdr:col>
      <xdr:colOff>546861</xdr:colOff>
      <xdr:row>19</xdr:row>
      <xdr:rowOff>3810</xdr:rowOff>
    </xdr:to>
    <xdr:sp macro="" textlink="">
      <xdr:nvSpPr>
        <xdr:cNvPr id="3" name="正方形/長方形 2">
          <a:extLst>
            <a:ext uri="{FF2B5EF4-FFF2-40B4-BE49-F238E27FC236}">
              <a16:creationId xmlns:a16="http://schemas.microsoft.com/office/drawing/2014/main" id="{B9CD4694-A8D8-4D77-AF0F-FD50134C0364}"/>
            </a:ext>
          </a:extLst>
        </xdr:cNvPr>
        <xdr:cNvSpPr/>
      </xdr:nvSpPr>
      <xdr:spPr>
        <a:xfrm>
          <a:off x="302181" y="1861185"/>
          <a:ext cx="244680"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367371</xdr:colOff>
      <xdr:row>10</xdr:row>
      <xdr:rowOff>13335</xdr:rowOff>
    </xdr:from>
    <xdr:to>
      <xdr:col>0</xdr:col>
      <xdr:colOff>481671</xdr:colOff>
      <xdr:row>10</xdr:row>
      <xdr:rowOff>137160</xdr:rowOff>
    </xdr:to>
    <xdr:sp macro="" textlink="">
      <xdr:nvSpPr>
        <xdr:cNvPr id="4" name="テキスト ボックス 3">
          <a:extLst>
            <a:ext uri="{FF2B5EF4-FFF2-40B4-BE49-F238E27FC236}">
              <a16:creationId xmlns:a16="http://schemas.microsoft.com/office/drawing/2014/main" id="{5C668476-3F75-441F-A0BE-16481B648206}"/>
            </a:ext>
          </a:extLst>
        </xdr:cNvPr>
        <xdr:cNvSpPr txBox="1"/>
      </xdr:nvSpPr>
      <xdr:spPr>
        <a:xfrm>
          <a:off x="367371"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546861</xdr:colOff>
      <xdr:row>11</xdr:row>
      <xdr:rowOff>3810</xdr:rowOff>
    </xdr:from>
    <xdr:to>
      <xdr:col>0</xdr:col>
      <xdr:colOff>608031</xdr:colOff>
      <xdr:row>19</xdr:row>
      <xdr:rowOff>3810</xdr:rowOff>
    </xdr:to>
    <xdr:sp macro="" textlink="">
      <xdr:nvSpPr>
        <xdr:cNvPr id="5" name="正方形/長方形 4">
          <a:extLst>
            <a:ext uri="{FF2B5EF4-FFF2-40B4-BE49-F238E27FC236}">
              <a16:creationId xmlns:a16="http://schemas.microsoft.com/office/drawing/2014/main" id="{3DFFB638-1D47-4607-8582-1793397EDBAE}"/>
            </a:ext>
          </a:extLst>
        </xdr:cNvPr>
        <xdr:cNvSpPr/>
      </xdr:nvSpPr>
      <xdr:spPr>
        <a:xfrm>
          <a:off x="546861" y="1861185"/>
          <a:ext cx="61170"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520296</xdr:colOff>
      <xdr:row>10</xdr:row>
      <xdr:rowOff>13335</xdr:rowOff>
    </xdr:from>
    <xdr:to>
      <xdr:col>0</xdr:col>
      <xdr:colOff>634596</xdr:colOff>
      <xdr:row>10</xdr:row>
      <xdr:rowOff>137160</xdr:rowOff>
    </xdr:to>
    <xdr:sp macro="" textlink="">
      <xdr:nvSpPr>
        <xdr:cNvPr id="6" name="テキスト ボックス 5">
          <a:extLst>
            <a:ext uri="{FF2B5EF4-FFF2-40B4-BE49-F238E27FC236}">
              <a16:creationId xmlns:a16="http://schemas.microsoft.com/office/drawing/2014/main" id="{5D21D3DD-291C-4441-8A37-65846E3C8AD7}"/>
            </a:ext>
          </a:extLst>
        </xdr:cNvPr>
        <xdr:cNvSpPr txBox="1"/>
      </xdr:nvSpPr>
      <xdr:spPr>
        <a:xfrm>
          <a:off x="520296"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673222</xdr:colOff>
      <xdr:row>10</xdr:row>
      <xdr:rowOff>13335</xdr:rowOff>
    </xdr:from>
    <xdr:to>
      <xdr:col>0</xdr:col>
      <xdr:colOff>787522</xdr:colOff>
      <xdr:row>10</xdr:row>
      <xdr:rowOff>137160</xdr:rowOff>
    </xdr:to>
    <xdr:sp macro="" textlink="">
      <xdr:nvSpPr>
        <xdr:cNvPr id="7" name="テキスト ボックス 6">
          <a:extLst>
            <a:ext uri="{FF2B5EF4-FFF2-40B4-BE49-F238E27FC236}">
              <a16:creationId xmlns:a16="http://schemas.microsoft.com/office/drawing/2014/main" id="{A4FAE3B7-09CF-466C-8CDD-34EFFB4DB841}"/>
            </a:ext>
          </a:extLst>
        </xdr:cNvPr>
        <xdr:cNvSpPr txBox="1"/>
      </xdr:nvSpPr>
      <xdr:spPr>
        <a:xfrm>
          <a:off x="673222"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852712</xdr:colOff>
      <xdr:row>11</xdr:row>
      <xdr:rowOff>3810</xdr:rowOff>
    </xdr:from>
    <xdr:to>
      <xdr:col>0</xdr:col>
      <xdr:colOff>882074</xdr:colOff>
      <xdr:row>19</xdr:row>
      <xdr:rowOff>3810</xdr:rowOff>
    </xdr:to>
    <xdr:sp macro="" textlink="">
      <xdr:nvSpPr>
        <xdr:cNvPr id="8" name="正方形/長方形 7">
          <a:extLst>
            <a:ext uri="{FF2B5EF4-FFF2-40B4-BE49-F238E27FC236}">
              <a16:creationId xmlns:a16="http://schemas.microsoft.com/office/drawing/2014/main" id="{9E077512-DB62-44EC-9759-7330F3F9F00F}"/>
            </a:ext>
          </a:extLst>
        </xdr:cNvPr>
        <xdr:cNvSpPr/>
      </xdr:nvSpPr>
      <xdr:spPr>
        <a:xfrm>
          <a:off x="852712" y="1861185"/>
          <a:ext cx="29362"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810243</xdr:colOff>
      <xdr:row>10</xdr:row>
      <xdr:rowOff>13335</xdr:rowOff>
    </xdr:from>
    <xdr:to>
      <xdr:col>0</xdr:col>
      <xdr:colOff>924543</xdr:colOff>
      <xdr:row>10</xdr:row>
      <xdr:rowOff>137160</xdr:rowOff>
    </xdr:to>
    <xdr:sp macro="" textlink="">
      <xdr:nvSpPr>
        <xdr:cNvPr id="9" name="テキスト ボックス 8">
          <a:extLst>
            <a:ext uri="{FF2B5EF4-FFF2-40B4-BE49-F238E27FC236}">
              <a16:creationId xmlns:a16="http://schemas.microsoft.com/office/drawing/2014/main" id="{8FAFA8EE-DBD3-4761-9553-47C3D33308ED}"/>
            </a:ext>
          </a:extLst>
        </xdr:cNvPr>
        <xdr:cNvSpPr txBox="1"/>
      </xdr:nvSpPr>
      <xdr:spPr>
        <a:xfrm>
          <a:off x="810243"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882074</xdr:colOff>
      <xdr:row>11</xdr:row>
      <xdr:rowOff>3810</xdr:rowOff>
    </xdr:from>
    <xdr:to>
      <xdr:col>0</xdr:col>
      <xdr:colOff>906542</xdr:colOff>
      <xdr:row>19</xdr:row>
      <xdr:rowOff>3810</xdr:rowOff>
    </xdr:to>
    <xdr:sp macro="" textlink="">
      <xdr:nvSpPr>
        <xdr:cNvPr id="10" name="正方形/長方形 9">
          <a:extLst>
            <a:ext uri="{FF2B5EF4-FFF2-40B4-BE49-F238E27FC236}">
              <a16:creationId xmlns:a16="http://schemas.microsoft.com/office/drawing/2014/main" id="{3FA8FCE1-02F1-4583-9733-A77587E1002F}"/>
            </a:ext>
          </a:extLst>
        </xdr:cNvPr>
        <xdr:cNvSpPr/>
      </xdr:nvSpPr>
      <xdr:spPr>
        <a:xfrm>
          <a:off x="882074" y="1861185"/>
          <a:ext cx="24468"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873108</xdr:colOff>
      <xdr:row>10</xdr:row>
      <xdr:rowOff>13335</xdr:rowOff>
    </xdr:from>
    <xdr:to>
      <xdr:col>0</xdr:col>
      <xdr:colOff>987408</xdr:colOff>
      <xdr:row>10</xdr:row>
      <xdr:rowOff>137160</xdr:rowOff>
    </xdr:to>
    <xdr:sp macro="" textlink="">
      <xdr:nvSpPr>
        <xdr:cNvPr id="11" name="テキスト ボックス 10">
          <a:extLst>
            <a:ext uri="{FF2B5EF4-FFF2-40B4-BE49-F238E27FC236}">
              <a16:creationId xmlns:a16="http://schemas.microsoft.com/office/drawing/2014/main" id="{C02A7D6B-FA01-4B9F-9B8F-45799775B7D0}"/>
            </a:ext>
          </a:extLst>
        </xdr:cNvPr>
        <xdr:cNvSpPr txBox="1"/>
      </xdr:nvSpPr>
      <xdr:spPr>
        <a:xfrm>
          <a:off x="873108"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13</xdr:row>
      <xdr:rowOff>97474</xdr:rowOff>
    </xdr:from>
    <xdr:to>
      <xdr:col>1</xdr:col>
      <xdr:colOff>62184</xdr:colOff>
      <xdr:row>16</xdr:row>
      <xdr:rowOff>81594</xdr:rowOff>
    </xdr:to>
    <xdr:sp macro="" textlink="">
      <xdr:nvSpPr>
        <xdr:cNvPr id="12" name="テキスト ボックス 11">
          <a:extLst>
            <a:ext uri="{FF2B5EF4-FFF2-40B4-BE49-F238E27FC236}">
              <a16:creationId xmlns:a16="http://schemas.microsoft.com/office/drawing/2014/main" id="{04F54060-EAB9-40D3-BD74-4546B1415D02}"/>
            </a:ext>
          </a:extLst>
        </xdr:cNvPr>
        <xdr:cNvSpPr txBox="1"/>
      </xdr:nvSpPr>
      <xdr:spPr>
        <a:xfrm>
          <a:off x="1017474"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6713</xdr:colOff>
      <xdr:row>30</xdr:row>
      <xdr:rowOff>97474</xdr:rowOff>
    </xdr:from>
    <xdr:to>
      <xdr:col>0</xdr:col>
      <xdr:colOff>394448</xdr:colOff>
      <xdr:row>33</xdr:row>
      <xdr:rowOff>81594</xdr:rowOff>
    </xdr:to>
    <xdr:sp macro="" textlink="">
      <xdr:nvSpPr>
        <xdr:cNvPr id="13" name="テキスト ボックス 12">
          <a:extLst>
            <a:ext uri="{FF2B5EF4-FFF2-40B4-BE49-F238E27FC236}">
              <a16:creationId xmlns:a16="http://schemas.microsoft.com/office/drawing/2014/main" id="{A00ADCEA-C29F-468C-861A-A4D49062FAFF}"/>
            </a:ext>
          </a:extLst>
        </xdr:cNvPr>
        <xdr:cNvSpPr txBox="1"/>
      </xdr:nvSpPr>
      <xdr:spPr>
        <a:xfrm>
          <a:off x="6713"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28</xdr:row>
      <xdr:rowOff>3810</xdr:rowOff>
    </xdr:from>
    <xdr:to>
      <xdr:col>0</xdr:col>
      <xdr:colOff>557185</xdr:colOff>
      <xdr:row>36</xdr:row>
      <xdr:rowOff>3810</xdr:rowOff>
    </xdr:to>
    <xdr:sp macro="" textlink="">
      <xdr:nvSpPr>
        <xdr:cNvPr id="14" name="正方形/長方形 13">
          <a:extLst>
            <a:ext uri="{FF2B5EF4-FFF2-40B4-BE49-F238E27FC236}">
              <a16:creationId xmlns:a16="http://schemas.microsoft.com/office/drawing/2014/main" id="{7DC327C8-43BB-43E8-B554-DC21AEE718DC}"/>
            </a:ext>
          </a:extLst>
        </xdr:cNvPr>
        <xdr:cNvSpPr/>
      </xdr:nvSpPr>
      <xdr:spPr>
        <a:xfrm>
          <a:off x="302181" y="4775835"/>
          <a:ext cx="255004"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372533</xdr:colOff>
      <xdr:row>27</xdr:row>
      <xdr:rowOff>13335</xdr:rowOff>
    </xdr:from>
    <xdr:to>
      <xdr:col>0</xdr:col>
      <xdr:colOff>486833</xdr:colOff>
      <xdr:row>27</xdr:row>
      <xdr:rowOff>137160</xdr:rowOff>
    </xdr:to>
    <xdr:sp macro="" textlink="">
      <xdr:nvSpPr>
        <xdr:cNvPr id="15" name="テキスト ボックス 14">
          <a:extLst>
            <a:ext uri="{FF2B5EF4-FFF2-40B4-BE49-F238E27FC236}">
              <a16:creationId xmlns:a16="http://schemas.microsoft.com/office/drawing/2014/main" id="{CD74F957-31B1-4D81-A46B-84FA57D9DD0D}"/>
            </a:ext>
          </a:extLst>
        </xdr:cNvPr>
        <xdr:cNvSpPr txBox="1"/>
      </xdr:nvSpPr>
      <xdr:spPr>
        <a:xfrm>
          <a:off x="372533"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557185</xdr:colOff>
      <xdr:row>28</xdr:row>
      <xdr:rowOff>3810</xdr:rowOff>
    </xdr:from>
    <xdr:to>
      <xdr:col>0</xdr:col>
      <xdr:colOff>620937</xdr:colOff>
      <xdr:row>36</xdr:row>
      <xdr:rowOff>3810</xdr:rowOff>
    </xdr:to>
    <xdr:sp macro="" textlink="">
      <xdr:nvSpPr>
        <xdr:cNvPr id="16" name="正方形/長方形 15">
          <a:extLst>
            <a:ext uri="{FF2B5EF4-FFF2-40B4-BE49-F238E27FC236}">
              <a16:creationId xmlns:a16="http://schemas.microsoft.com/office/drawing/2014/main" id="{F0FA8849-89E3-4B77-B6C0-1A18918F717C}"/>
            </a:ext>
          </a:extLst>
        </xdr:cNvPr>
        <xdr:cNvSpPr/>
      </xdr:nvSpPr>
      <xdr:spPr>
        <a:xfrm>
          <a:off x="557185" y="4775835"/>
          <a:ext cx="63752"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531911</xdr:colOff>
      <xdr:row>27</xdr:row>
      <xdr:rowOff>13335</xdr:rowOff>
    </xdr:from>
    <xdr:to>
      <xdr:col>0</xdr:col>
      <xdr:colOff>646211</xdr:colOff>
      <xdr:row>27</xdr:row>
      <xdr:rowOff>137160</xdr:rowOff>
    </xdr:to>
    <xdr:sp macro="" textlink="">
      <xdr:nvSpPr>
        <xdr:cNvPr id="17" name="テキスト ボックス 16">
          <a:extLst>
            <a:ext uri="{FF2B5EF4-FFF2-40B4-BE49-F238E27FC236}">
              <a16:creationId xmlns:a16="http://schemas.microsoft.com/office/drawing/2014/main" id="{2A1ACF81-3F19-4E3A-94DB-D7119412FA63}"/>
            </a:ext>
          </a:extLst>
        </xdr:cNvPr>
        <xdr:cNvSpPr txBox="1"/>
      </xdr:nvSpPr>
      <xdr:spPr>
        <a:xfrm>
          <a:off x="531911"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691289</xdr:colOff>
      <xdr:row>27</xdr:row>
      <xdr:rowOff>13335</xdr:rowOff>
    </xdr:from>
    <xdr:to>
      <xdr:col>0</xdr:col>
      <xdr:colOff>805589</xdr:colOff>
      <xdr:row>27</xdr:row>
      <xdr:rowOff>137160</xdr:rowOff>
    </xdr:to>
    <xdr:sp macro="" textlink="">
      <xdr:nvSpPr>
        <xdr:cNvPr id="18" name="テキスト ボックス 17">
          <a:extLst>
            <a:ext uri="{FF2B5EF4-FFF2-40B4-BE49-F238E27FC236}">
              <a16:creationId xmlns:a16="http://schemas.microsoft.com/office/drawing/2014/main" id="{E89CE39B-FDCB-433F-BA2D-AE9F16B3EBFA}"/>
            </a:ext>
          </a:extLst>
        </xdr:cNvPr>
        <xdr:cNvSpPr txBox="1"/>
      </xdr:nvSpPr>
      <xdr:spPr>
        <a:xfrm>
          <a:off x="691289"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875941</xdr:colOff>
      <xdr:row>28</xdr:row>
      <xdr:rowOff>3810</xdr:rowOff>
    </xdr:from>
    <xdr:to>
      <xdr:col>0</xdr:col>
      <xdr:colOff>906542</xdr:colOff>
      <xdr:row>36</xdr:row>
      <xdr:rowOff>3810</xdr:rowOff>
    </xdr:to>
    <xdr:sp macro="" textlink="">
      <xdr:nvSpPr>
        <xdr:cNvPr id="19" name="正方形/長方形 18">
          <a:extLst>
            <a:ext uri="{FF2B5EF4-FFF2-40B4-BE49-F238E27FC236}">
              <a16:creationId xmlns:a16="http://schemas.microsoft.com/office/drawing/2014/main" id="{0DD1413B-5E22-4A02-A6AE-3B95E6DCF379}"/>
            </a:ext>
          </a:extLst>
        </xdr:cNvPr>
        <xdr:cNvSpPr/>
      </xdr:nvSpPr>
      <xdr:spPr>
        <a:xfrm>
          <a:off x="875941" y="4775835"/>
          <a:ext cx="30601"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834092</xdr:colOff>
      <xdr:row>27</xdr:row>
      <xdr:rowOff>13335</xdr:rowOff>
    </xdr:from>
    <xdr:to>
      <xdr:col>0</xdr:col>
      <xdr:colOff>948392</xdr:colOff>
      <xdr:row>27</xdr:row>
      <xdr:rowOff>137160</xdr:rowOff>
    </xdr:to>
    <xdr:sp macro="" textlink="">
      <xdr:nvSpPr>
        <xdr:cNvPr id="20" name="テキスト ボックス 19">
          <a:extLst>
            <a:ext uri="{FF2B5EF4-FFF2-40B4-BE49-F238E27FC236}">
              <a16:creationId xmlns:a16="http://schemas.microsoft.com/office/drawing/2014/main" id="{6D42ACBC-818D-498A-A889-2436B6380420}"/>
            </a:ext>
          </a:extLst>
        </xdr:cNvPr>
        <xdr:cNvSpPr txBox="1"/>
      </xdr:nvSpPr>
      <xdr:spPr>
        <a:xfrm>
          <a:off x="834092"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30</xdr:row>
      <xdr:rowOff>97474</xdr:rowOff>
    </xdr:from>
    <xdr:to>
      <xdr:col>1</xdr:col>
      <xdr:colOff>62184</xdr:colOff>
      <xdr:row>33</xdr:row>
      <xdr:rowOff>81594</xdr:rowOff>
    </xdr:to>
    <xdr:sp macro="" textlink="">
      <xdr:nvSpPr>
        <xdr:cNvPr id="21" name="テキスト ボックス 20">
          <a:extLst>
            <a:ext uri="{FF2B5EF4-FFF2-40B4-BE49-F238E27FC236}">
              <a16:creationId xmlns:a16="http://schemas.microsoft.com/office/drawing/2014/main" id="{289B3593-7A79-41A9-B78E-E0EA8DBA8447}"/>
            </a:ext>
          </a:extLst>
        </xdr:cNvPr>
        <xdr:cNvSpPr txBox="1"/>
      </xdr:nvSpPr>
      <xdr:spPr>
        <a:xfrm>
          <a:off x="1017474"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11</xdr:row>
      <xdr:rowOff>3810</xdr:rowOff>
    </xdr:from>
    <xdr:to>
      <xdr:col>6</xdr:col>
      <xdr:colOff>617791</xdr:colOff>
      <xdr:row>19</xdr:row>
      <xdr:rowOff>3810</xdr:rowOff>
    </xdr:to>
    <xdr:sp macro="" textlink="">
      <xdr:nvSpPr>
        <xdr:cNvPr id="22" name="正方形/長方形 21">
          <a:extLst>
            <a:ext uri="{FF2B5EF4-FFF2-40B4-BE49-F238E27FC236}">
              <a16:creationId xmlns:a16="http://schemas.microsoft.com/office/drawing/2014/main" id="{C3792ABB-00E2-467D-8565-837DB804918E}"/>
            </a:ext>
          </a:extLst>
        </xdr:cNvPr>
        <xdr:cNvSpPr/>
      </xdr:nvSpPr>
      <xdr:spPr>
        <a:xfrm>
          <a:off x="5591556" y="18611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10</xdr:row>
      <xdr:rowOff>13335</xdr:rowOff>
    </xdr:from>
    <xdr:to>
      <xdr:col>6</xdr:col>
      <xdr:colOff>655161</xdr:colOff>
      <xdr:row>10</xdr:row>
      <xdr:rowOff>137160</xdr:rowOff>
    </xdr:to>
    <xdr:sp macro="" textlink="">
      <xdr:nvSpPr>
        <xdr:cNvPr id="23" name="テキスト ボックス 22">
          <a:extLst>
            <a:ext uri="{FF2B5EF4-FFF2-40B4-BE49-F238E27FC236}">
              <a16:creationId xmlns:a16="http://schemas.microsoft.com/office/drawing/2014/main" id="{B490448C-4E38-4770-88ED-669F099A6620}"/>
            </a:ext>
          </a:extLst>
        </xdr:cNvPr>
        <xdr:cNvSpPr txBox="1"/>
      </xdr:nvSpPr>
      <xdr:spPr>
        <a:xfrm>
          <a:off x="5554186" y="16992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13</xdr:row>
      <xdr:rowOff>97474</xdr:rowOff>
    </xdr:from>
    <xdr:to>
      <xdr:col>6</xdr:col>
      <xdr:colOff>683198</xdr:colOff>
      <xdr:row>16</xdr:row>
      <xdr:rowOff>81594</xdr:rowOff>
    </xdr:to>
    <xdr:sp macro="" textlink="">
      <xdr:nvSpPr>
        <xdr:cNvPr id="24" name="テキスト ボックス 23">
          <a:extLst>
            <a:ext uri="{FF2B5EF4-FFF2-40B4-BE49-F238E27FC236}">
              <a16:creationId xmlns:a16="http://schemas.microsoft.com/office/drawing/2014/main" id="{D9C2D250-902A-4EC7-8825-F4D23C810AE8}"/>
            </a:ext>
          </a:extLst>
        </xdr:cNvPr>
        <xdr:cNvSpPr txBox="1"/>
      </xdr:nvSpPr>
      <xdr:spPr>
        <a:xfrm>
          <a:off x="529608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13</xdr:row>
      <xdr:rowOff>97474</xdr:rowOff>
    </xdr:from>
    <xdr:to>
      <xdr:col>6</xdr:col>
      <xdr:colOff>1116458</xdr:colOff>
      <xdr:row>16</xdr:row>
      <xdr:rowOff>81594</xdr:rowOff>
    </xdr:to>
    <xdr:sp macro="" textlink="">
      <xdr:nvSpPr>
        <xdr:cNvPr id="25" name="テキスト ボックス 24">
          <a:extLst>
            <a:ext uri="{FF2B5EF4-FFF2-40B4-BE49-F238E27FC236}">
              <a16:creationId xmlns:a16="http://schemas.microsoft.com/office/drawing/2014/main" id="{8B5D4786-F5AF-4D43-8033-88C3F386967E}"/>
            </a:ext>
          </a:extLst>
        </xdr:cNvPr>
        <xdr:cNvSpPr txBox="1"/>
      </xdr:nvSpPr>
      <xdr:spPr>
        <a:xfrm>
          <a:off x="572934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28</xdr:row>
      <xdr:rowOff>3810</xdr:rowOff>
    </xdr:from>
    <xdr:to>
      <xdr:col>6</xdr:col>
      <xdr:colOff>617791</xdr:colOff>
      <xdr:row>36</xdr:row>
      <xdr:rowOff>3810</xdr:rowOff>
    </xdr:to>
    <xdr:sp macro="" textlink="">
      <xdr:nvSpPr>
        <xdr:cNvPr id="26" name="正方形/長方形 25">
          <a:extLst>
            <a:ext uri="{FF2B5EF4-FFF2-40B4-BE49-F238E27FC236}">
              <a16:creationId xmlns:a16="http://schemas.microsoft.com/office/drawing/2014/main" id="{213C8683-3218-4469-8DF3-EF3660B80DBB}"/>
            </a:ext>
          </a:extLst>
        </xdr:cNvPr>
        <xdr:cNvSpPr/>
      </xdr:nvSpPr>
      <xdr:spPr>
        <a:xfrm>
          <a:off x="5591556" y="477583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27</xdr:row>
      <xdr:rowOff>13335</xdr:rowOff>
    </xdr:from>
    <xdr:to>
      <xdr:col>6</xdr:col>
      <xdr:colOff>655161</xdr:colOff>
      <xdr:row>27</xdr:row>
      <xdr:rowOff>137160</xdr:rowOff>
    </xdr:to>
    <xdr:sp macro="" textlink="">
      <xdr:nvSpPr>
        <xdr:cNvPr id="27" name="テキスト ボックス 26">
          <a:extLst>
            <a:ext uri="{FF2B5EF4-FFF2-40B4-BE49-F238E27FC236}">
              <a16:creationId xmlns:a16="http://schemas.microsoft.com/office/drawing/2014/main" id="{024D2A70-90F6-443E-BA3A-F3630103AE13}"/>
            </a:ext>
          </a:extLst>
        </xdr:cNvPr>
        <xdr:cNvSpPr txBox="1"/>
      </xdr:nvSpPr>
      <xdr:spPr>
        <a:xfrm>
          <a:off x="5554186" y="461391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30</xdr:row>
      <xdr:rowOff>97474</xdr:rowOff>
    </xdr:from>
    <xdr:to>
      <xdr:col>6</xdr:col>
      <xdr:colOff>683198</xdr:colOff>
      <xdr:row>33</xdr:row>
      <xdr:rowOff>81594</xdr:rowOff>
    </xdr:to>
    <xdr:sp macro="" textlink="">
      <xdr:nvSpPr>
        <xdr:cNvPr id="28" name="テキスト ボックス 27">
          <a:extLst>
            <a:ext uri="{FF2B5EF4-FFF2-40B4-BE49-F238E27FC236}">
              <a16:creationId xmlns:a16="http://schemas.microsoft.com/office/drawing/2014/main" id="{EE6380E4-F732-4FCB-9F8D-3C0850792465}"/>
            </a:ext>
          </a:extLst>
        </xdr:cNvPr>
        <xdr:cNvSpPr txBox="1"/>
      </xdr:nvSpPr>
      <xdr:spPr>
        <a:xfrm>
          <a:off x="529608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30</xdr:row>
      <xdr:rowOff>97474</xdr:rowOff>
    </xdr:from>
    <xdr:to>
      <xdr:col>6</xdr:col>
      <xdr:colOff>1116458</xdr:colOff>
      <xdr:row>33</xdr:row>
      <xdr:rowOff>81594</xdr:rowOff>
    </xdr:to>
    <xdr:sp macro="" textlink="">
      <xdr:nvSpPr>
        <xdr:cNvPr id="29" name="テキスト ボックス 28">
          <a:extLst>
            <a:ext uri="{FF2B5EF4-FFF2-40B4-BE49-F238E27FC236}">
              <a16:creationId xmlns:a16="http://schemas.microsoft.com/office/drawing/2014/main" id="{B8D6E603-0999-48E6-8E4A-7BA984D0F246}"/>
            </a:ext>
          </a:extLst>
        </xdr:cNvPr>
        <xdr:cNvSpPr txBox="1"/>
      </xdr:nvSpPr>
      <xdr:spPr>
        <a:xfrm>
          <a:off x="572934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553561</xdr:colOff>
      <xdr:row>44</xdr:row>
      <xdr:rowOff>13335</xdr:rowOff>
    </xdr:from>
    <xdr:to>
      <xdr:col>0</xdr:col>
      <xdr:colOff>655161</xdr:colOff>
      <xdr:row>44</xdr:row>
      <xdr:rowOff>137160</xdr:rowOff>
    </xdr:to>
    <xdr:sp macro="" textlink="">
      <xdr:nvSpPr>
        <xdr:cNvPr id="30" name="テキスト ボックス 29">
          <a:extLst>
            <a:ext uri="{FF2B5EF4-FFF2-40B4-BE49-F238E27FC236}">
              <a16:creationId xmlns:a16="http://schemas.microsoft.com/office/drawing/2014/main" id="{D6060BD0-8895-4A1B-A1CB-16B92EC52F6C}"/>
            </a:ext>
          </a:extLst>
        </xdr:cNvPr>
        <xdr:cNvSpPr txBox="1"/>
      </xdr:nvSpPr>
      <xdr:spPr>
        <a:xfrm>
          <a:off x="553561" y="75285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228312</xdr:colOff>
      <xdr:row>47</xdr:row>
      <xdr:rowOff>97474</xdr:rowOff>
    </xdr:from>
    <xdr:to>
      <xdr:col>0</xdr:col>
      <xdr:colOff>616047</xdr:colOff>
      <xdr:row>50</xdr:row>
      <xdr:rowOff>81594</xdr:rowOff>
    </xdr:to>
    <xdr:sp macro="" textlink="">
      <xdr:nvSpPr>
        <xdr:cNvPr id="31" name="テキスト ボックス 30">
          <a:extLst>
            <a:ext uri="{FF2B5EF4-FFF2-40B4-BE49-F238E27FC236}">
              <a16:creationId xmlns:a16="http://schemas.microsoft.com/office/drawing/2014/main" id="{BB0B6204-0E94-4BA3-8575-0BF10042C56B}"/>
            </a:ext>
          </a:extLst>
        </xdr:cNvPr>
        <xdr:cNvSpPr txBox="1"/>
      </xdr:nvSpPr>
      <xdr:spPr>
        <a:xfrm>
          <a:off x="228312"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523780</xdr:colOff>
      <xdr:row>45</xdr:row>
      <xdr:rowOff>3810</xdr:rowOff>
    </xdr:from>
    <xdr:to>
      <xdr:col>0</xdr:col>
      <xdr:colOff>550640</xdr:colOff>
      <xdr:row>53</xdr:row>
      <xdr:rowOff>3810</xdr:rowOff>
    </xdr:to>
    <xdr:sp macro="" textlink="">
      <xdr:nvSpPr>
        <xdr:cNvPr id="32" name="正方形/長方形 31">
          <a:extLst>
            <a:ext uri="{FF2B5EF4-FFF2-40B4-BE49-F238E27FC236}">
              <a16:creationId xmlns:a16="http://schemas.microsoft.com/office/drawing/2014/main" id="{79DB7C49-CC01-4A3E-A8F9-6B89CEE898A1}"/>
            </a:ext>
          </a:extLst>
        </xdr:cNvPr>
        <xdr:cNvSpPr/>
      </xdr:nvSpPr>
      <xdr:spPr>
        <a:xfrm>
          <a:off x="523780" y="76904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658082</xdr:colOff>
      <xdr:row>45</xdr:row>
      <xdr:rowOff>3810</xdr:rowOff>
    </xdr:from>
    <xdr:to>
      <xdr:col>0</xdr:col>
      <xdr:colOff>684943</xdr:colOff>
      <xdr:row>53</xdr:row>
      <xdr:rowOff>3810</xdr:rowOff>
    </xdr:to>
    <xdr:sp macro="" textlink="">
      <xdr:nvSpPr>
        <xdr:cNvPr id="33" name="正方形/長方形 32">
          <a:extLst>
            <a:ext uri="{FF2B5EF4-FFF2-40B4-BE49-F238E27FC236}">
              <a16:creationId xmlns:a16="http://schemas.microsoft.com/office/drawing/2014/main" id="{2CF8F16B-2F12-498A-8A5E-AF9DDF78F3F0}"/>
            </a:ext>
          </a:extLst>
        </xdr:cNvPr>
        <xdr:cNvSpPr/>
      </xdr:nvSpPr>
      <xdr:spPr>
        <a:xfrm>
          <a:off x="658082" y="7690485"/>
          <a:ext cx="26861"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795875</xdr:colOff>
      <xdr:row>47</xdr:row>
      <xdr:rowOff>97474</xdr:rowOff>
    </xdr:from>
    <xdr:to>
      <xdr:col>0</xdr:col>
      <xdr:colOff>1183610</xdr:colOff>
      <xdr:row>50</xdr:row>
      <xdr:rowOff>81594</xdr:rowOff>
    </xdr:to>
    <xdr:sp macro="" textlink="">
      <xdr:nvSpPr>
        <xdr:cNvPr id="34" name="テキスト ボックス 33">
          <a:extLst>
            <a:ext uri="{FF2B5EF4-FFF2-40B4-BE49-F238E27FC236}">
              <a16:creationId xmlns:a16="http://schemas.microsoft.com/office/drawing/2014/main" id="{62FA9E56-DE97-483F-ADB2-3BE0E0EF1DB2}"/>
            </a:ext>
          </a:extLst>
        </xdr:cNvPr>
        <xdr:cNvSpPr txBox="1"/>
      </xdr:nvSpPr>
      <xdr:spPr>
        <a:xfrm>
          <a:off x="795875"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60</xdr:row>
      <xdr:rowOff>135049</xdr:rowOff>
    </xdr:from>
    <xdr:to>
      <xdr:col>0</xdr:col>
      <xdr:colOff>943635</xdr:colOff>
      <xdr:row>62</xdr:row>
      <xdr:rowOff>77676</xdr:rowOff>
    </xdr:to>
    <xdr:sp macro="" textlink="">
      <xdr:nvSpPr>
        <xdr:cNvPr id="35" name="テキスト ボックス 34">
          <a:extLst>
            <a:ext uri="{FF2B5EF4-FFF2-40B4-BE49-F238E27FC236}">
              <a16:creationId xmlns:a16="http://schemas.microsoft.com/office/drawing/2014/main" id="{F07D6F45-888E-4FD6-8E4E-40087B844B66}"/>
            </a:ext>
          </a:extLst>
        </xdr:cNvPr>
        <xdr:cNvSpPr txBox="1"/>
      </xdr:nvSpPr>
      <xdr:spPr>
        <a:xfrm>
          <a:off x="528137" y="103934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37227</xdr:colOff>
      <xdr:row>63</xdr:row>
      <xdr:rowOff>43169</xdr:rowOff>
    </xdr:from>
    <xdr:to>
      <xdr:col>0</xdr:col>
      <xdr:colOff>151527</xdr:colOff>
      <xdr:row>63</xdr:row>
      <xdr:rowOff>166994</xdr:rowOff>
    </xdr:to>
    <xdr:sp macro="" textlink="">
      <xdr:nvSpPr>
        <xdr:cNvPr id="37" name="テキスト ボックス 36">
          <a:extLst>
            <a:ext uri="{FF2B5EF4-FFF2-40B4-BE49-F238E27FC236}">
              <a16:creationId xmlns:a16="http://schemas.microsoft.com/office/drawing/2014/main" id="{5FEAC7BE-E60F-4537-9F18-AEBDA9966216}"/>
            </a:ext>
          </a:extLst>
        </xdr:cNvPr>
        <xdr:cNvSpPr txBox="1"/>
      </xdr:nvSpPr>
      <xdr:spPr>
        <a:xfrm>
          <a:off x="37227" y="1081594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63</xdr:row>
      <xdr:rowOff>136499</xdr:rowOff>
    </xdr:from>
    <xdr:to>
      <xdr:col>0</xdr:col>
      <xdr:colOff>151527</xdr:colOff>
      <xdr:row>64</xdr:row>
      <xdr:rowOff>88874</xdr:rowOff>
    </xdr:to>
    <xdr:sp macro="" textlink="">
      <xdr:nvSpPr>
        <xdr:cNvPr id="39" name="テキスト ボックス 38">
          <a:extLst>
            <a:ext uri="{FF2B5EF4-FFF2-40B4-BE49-F238E27FC236}">
              <a16:creationId xmlns:a16="http://schemas.microsoft.com/office/drawing/2014/main" id="{C29ADADB-7EF7-4688-A7E7-C64A9617AF46}"/>
            </a:ext>
          </a:extLst>
        </xdr:cNvPr>
        <xdr:cNvSpPr txBox="1"/>
      </xdr:nvSpPr>
      <xdr:spPr>
        <a:xfrm>
          <a:off x="37227" y="109092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36868</xdr:rowOff>
    </xdr:from>
    <xdr:to>
      <xdr:col>0</xdr:col>
      <xdr:colOff>151527</xdr:colOff>
      <xdr:row>64</xdr:row>
      <xdr:rowOff>160693</xdr:rowOff>
    </xdr:to>
    <xdr:sp macro="" textlink="">
      <xdr:nvSpPr>
        <xdr:cNvPr id="41" name="テキスト ボックス 40">
          <a:extLst>
            <a:ext uri="{FF2B5EF4-FFF2-40B4-BE49-F238E27FC236}">
              <a16:creationId xmlns:a16="http://schemas.microsoft.com/office/drawing/2014/main" id="{BFDCE7A0-A3A0-421A-A7F2-E69282D6884C}"/>
            </a:ext>
          </a:extLst>
        </xdr:cNvPr>
        <xdr:cNvSpPr txBox="1"/>
      </xdr:nvSpPr>
      <xdr:spPr>
        <a:xfrm>
          <a:off x="37227" y="109810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108687</xdr:rowOff>
    </xdr:from>
    <xdr:to>
      <xdr:col>0</xdr:col>
      <xdr:colOff>151527</xdr:colOff>
      <xdr:row>65</xdr:row>
      <xdr:rowOff>61062</xdr:rowOff>
    </xdr:to>
    <xdr:sp macro="" textlink="">
      <xdr:nvSpPr>
        <xdr:cNvPr id="43" name="テキスト ボックス 42">
          <a:extLst>
            <a:ext uri="{FF2B5EF4-FFF2-40B4-BE49-F238E27FC236}">
              <a16:creationId xmlns:a16="http://schemas.microsoft.com/office/drawing/2014/main" id="{9B83684C-0AC9-4F32-BCE1-F57523B27B50}"/>
            </a:ext>
          </a:extLst>
        </xdr:cNvPr>
        <xdr:cNvSpPr txBox="1"/>
      </xdr:nvSpPr>
      <xdr:spPr>
        <a:xfrm>
          <a:off x="37227" y="11052912"/>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66</xdr:row>
      <xdr:rowOff>39022</xdr:rowOff>
    </xdr:from>
    <xdr:to>
      <xdr:col>0</xdr:col>
      <xdr:colOff>151527</xdr:colOff>
      <xdr:row>66</xdr:row>
      <xdr:rowOff>162847</xdr:rowOff>
    </xdr:to>
    <xdr:sp macro="" textlink="">
      <xdr:nvSpPr>
        <xdr:cNvPr id="44" name="テキスト ボックス 43">
          <a:extLst>
            <a:ext uri="{FF2B5EF4-FFF2-40B4-BE49-F238E27FC236}">
              <a16:creationId xmlns:a16="http://schemas.microsoft.com/office/drawing/2014/main" id="{B6A705A5-A85C-48FF-B619-9027A5286BE8}"/>
            </a:ext>
          </a:extLst>
        </xdr:cNvPr>
        <xdr:cNvSpPr txBox="1"/>
      </xdr:nvSpPr>
      <xdr:spPr>
        <a:xfrm>
          <a:off x="37227" y="1132614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67</xdr:row>
      <xdr:rowOff>60453</xdr:rowOff>
    </xdr:from>
    <xdr:to>
      <xdr:col>0</xdr:col>
      <xdr:colOff>151527</xdr:colOff>
      <xdr:row>68</xdr:row>
      <xdr:rowOff>12828</xdr:rowOff>
    </xdr:to>
    <xdr:sp macro="" textlink="">
      <xdr:nvSpPr>
        <xdr:cNvPr id="46" name="テキスト ボックス 45">
          <a:extLst>
            <a:ext uri="{FF2B5EF4-FFF2-40B4-BE49-F238E27FC236}">
              <a16:creationId xmlns:a16="http://schemas.microsoft.com/office/drawing/2014/main" id="{968F1AC3-2897-4BDB-98C4-A38FA6C412E9}"/>
            </a:ext>
          </a:extLst>
        </xdr:cNvPr>
        <xdr:cNvSpPr txBox="1"/>
      </xdr:nvSpPr>
      <xdr:spPr>
        <a:xfrm>
          <a:off x="37227" y="1151902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67</xdr:row>
      <xdr:rowOff>100124</xdr:rowOff>
    </xdr:from>
    <xdr:to>
      <xdr:col>0</xdr:col>
      <xdr:colOff>943635</xdr:colOff>
      <xdr:row>69</xdr:row>
      <xdr:rowOff>42751</xdr:rowOff>
    </xdr:to>
    <xdr:sp macro="" textlink="">
      <xdr:nvSpPr>
        <xdr:cNvPr id="47" name="テキスト ボックス 46">
          <a:extLst>
            <a:ext uri="{FF2B5EF4-FFF2-40B4-BE49-F238E27FC236}">
              <a16:creationId xmlns:a16="http://schemas.microsoft.com/office/drawing/2014/main" id="{246867E6-672B-4873-8098-220ADD1A33D4}"/>
            </a:ext>
          </a:extLst>
        </xdr:cNvPr>
        <xdr:cNvSpPr txBox="1"/>
      </xdr:nvSpPr>
      <xdr:spPr>
        <a:xfrm>
          <a:off x="528137" y="1155869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43</xdr:row>
      <xdr:rowOff>135049</xdr:rowOff>
    </xdr:from>
    <xdr:to>
      <xdr:col>6</xdr:col>
      <xdr:colOff>943635</xdr:colOff>
      <xdr:row>45</xdr:row>
      <xdr:rowOff>77676</xdr:rowOff>
    </xdr:to>
    <xdr:sp macro="" textlink="">
      <xdr:nvSpPr>
        <xdr:cNvPr id="48" name="テキスト ボックス 47">
          <a:extLst>
            <a:ext uri="{FF2B5EF4-FFF2-40B4-BE49-F238E27FC236}">
              <a16:creationId xmlns:a16="http://schemas.microsoft.com/office/drawing/2014/main" id="{824D4D38-CDFC-4715-83A9-0EB8FDA5878D}"/>
            </a:ext>
          </a:extLst>
        </xdr:cNvPr>
        <xdr:cNvSpPr txBox="1"/>
      </xdr:nvSpPr>
      <xdr:spPr>
        <a:xfrm>
          <a:off x="5528762" y="74788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37227</xdr:colOff>
      <xdr:row>46</xdr:row>
      <xdr:rowOff>42182</xdr:rowOff>
    </xdr:from>
    <xdr:to>
      <xdr:col>6</xdr:col>
      <xdr:colOff>151527</xdr:colOff>
      <xdr:row>46</xdr:row>
      <xdr:rowOff>166007</xdr:rowOff>
    </xdr:to>
    <xdr:sp macro="" textlink="">
      <xdr:nvSpPr>
        <xdr:cNvPr id="50" name="テキスト ボックス 49">
          <a:extLst>
            <a:ext uri="{FF2B5EF4-FFF2-40B4-BE49-F238E27FC236}">
              <a16:creationId xmlns:a16="http://schemas.microsoft.com/office/drawing/2014/main" id="{7F56AD04-BAAE-4701-B2BD-A087F06B04A4}"/>
            </a:ext>
          </a:extLst>
        </xdr:cNvPr>
        <xdr:cNvSpPr txBox="1"/>
      </xdr:nvSpPr>
      <xdr:spPr>
        <a:xfrm>
          <a:off x="5037852" y="790030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46</xdr:row>
      <xdr:rowOff>134031</xdr:rowOff>
    </xdr:from>
    <xdr:to>
      <xdr:col>6</xdr:col>
      <xdr:colOff>151527</xdr:colOff>
      <xdr:row>47</xdr:row>
      <xdr:rowOff>86406</xdr:rowOff>
    </xdr:to>
    <xdr:sp macro="" textlink="">
      <xdr:nvSpPr>
        <xdr:cNvPr id="52" name="テキスト ボックス 51">
          <a:extLst>
            <a:ext uri="{FF2B5EF4-FFF2-40B4-BE49-F238E27FC236}">
              <a16:creationId xmlns:a16="http://schemas.microsoft.com/office/drawing/2014/main" id="{755E10E8-1581-4837-9C34-C60BDB1B8473}"/>
            </a:ext>
          </a:extLst>
        </xdr:cNvPr>
        <xdr:cNvSpPr txBox="1"/>
      </xdr:nvSpPr>
      <xdr:spPr>
        <a:xfrm>
          <a:off x="5037852" y="79921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34399</xdr:rowOff>
    </xdr:from>
    <xdr:to>
      <xdr:col>6</xdr:col>
      <xdr:colOff>151527</xdr:colOff>
      <xdr:row>47</xdr:row>
      <xdr:rowOff>158224</xdr:rowOff>
    </xdr:to>
    <xdr:sp macro="" textlink="">
      <xdr:nvSpPr>
        <xdr:cNvPr id="54" name="テキスト ボックス 53">
          <a:extLst>
            <a:ext uri="{FF2B5EF4-FFF2-40B4-BE49-F238E27FC236}">
              <a16:creationId xmlns:a16="http://schemas.microsoft.com/office/drawing/2014/main" id="{0CFF79DF-D56D-45E0-BD46-605A3A7B12E1}"/>
            </a:ext>
          </a:extLst>
        </xdr:cNvPr>
        <xdr:cNvSpPr txBox="1"/>
      </xdr:nvSpPr>
      <xdr:spPr>
        <a:xfrm>
          <a:off x="5037852" y="80639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106218</xdr:rowOff>
    </xdr:from>
    <xdr:to>
      <xdr:col>6</xdr:col>
      <xdr:colOff>151527</xdr:colOff>
      <xdr:row>48</xdr:row>
      <xdr:rowOff>58593</xdr:rowOff>
    </xdr:to>
    <xdr:sp macro="" textlink="">
      <xdr:nvSpPr>
        <xdr:cNvPr id="56" name="テキスト ボックス 55">
          <a:extLst>
            <a:ext uri="{FF2B5EF4-FFF2-40B4-BE49-F238E27FC236}">
              <a16:creationId xmlns:a16="http://schemas.microsoft.com/office/drawing/2014/main" id="{A6E67EDD-620D-4112-B2EB-1EFFACF65ED7}"/>
            </a:ext>
          </a:extLst>
        </xdr:cNvPr>
        <xdr:cNvSpPr txBox="1"/>
      </xdr:nvSpPr>
      <xdr:spPr>
        <a:xfrm>
          <a:off x="5037852" y="81357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49</xdr:row>
      <xdr:rowOff>29936</xdr:rowOff>
    </xdr:from>
    <xdr:to>
      <xdr:col>6</xdr:col>
      <xdr:colOff>151527</xdr:colOff>
      <xdr:row>49</xdr:row>
      <xdr:rowOff>153761</xdr:rowOff>
    </xdr:to>
    <xdr:sp macro="" textlink="">
      <xdr:nvSpPr>
        <xdr:cNvPr id="57" name="テキスト ボックス 56">
          <a:extLst>
            <a:ext uri="{FF2B5EF4-FFF2-40B4-BE49-F238E27FC236}">
              <a16:creationId xmlns:a16="http://schemas.microsoft.com/office/drawing/2014/main" id="{B4F010D9-7909-4EB5-8B4C-6996EFC45338}"/>
            </a:ext>
          </a:extLst>
        </xdr:cNvPr>
        <xdr:cNvSpPr txBox="1"/>
      </xdr:nvSpPr>
      <xdr:spPr>
        <a:xfrm>
          <a:off x="5037852" y="84024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48306</xdr:rowOff>
    </xdr:from>
    <xdr:to>
      <xdr:col>6</xdr:col>
      <xdr:colOff>151527</xdr:colOff>
      <xdr:row>51</xdr:row>
      <xdr:rowOff>681</xdr:rowOff>
    </xdr:to>
    <xdr:sp macro="" textlink="">
      <xdr:nvSpPr>
        <xdr:cNvPr id="59" name="テキスト ボックス 58">
          <a:extLst>
            <a:ext uri="{FF2B5EF4-FFF2-40B4-BE49-F238E27FC236}">
              <a16:creationId xmlns:a16="http://schemas.microsoft.com/office/drawing/2014/main" id="{92C562B5-85D1-4238-8ACD-2E1654D993B2}"/>
            </a:ext>
          </a:extLst>
        </xdr:cNvPr>
        <xdr:cNvSpPr txBox="1"/>
      </xdr:nvSpPr>
      <xdr:spPr>
        <a:xfrm>
          <a:off x="5037852" y="859223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120124</xdr:rowOff>
    </xdr:from>
    <xdr:to>
      <xdr:col>6</xdr:col>
      <xdr:colOff>151527</xdr:colOff>
      <xdr:row>51</xdr:row>
      <xdr:rowOff>72499</xdr:rowOff>
    </xdr:to>
    <xdr:sp macro="" textlink="">
      <xdr:nvSpPr>
        <xdr:cNvPr id="61" name="テキスト ボックス 60">
          <a:extLst>
            <a:ext uri="{FF2B5EF4-FFF2-40B4-BE49-F238E27FC236}">
              <a16:creationId xmlns:a16="http://schemas.microsoft.com/office/drawing/2014/main" id="{32D57731-55DE-43A8-B4A6-1004C8744E5E}"/>
            </a:ext>
          </a:extLst>
        </xdr:cNvPr>
        <xdr:cNvSpPr txBox="1"/>
      </xdr:nvSpPr>
      <xdr:spPr>
        <a:xfrm>
          <a:off x="5037852" y="866404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50</xdr:row>
      <xdr:rowOff>100124</xdr:rowOff>
    </xdr:from>
    <xdr:to>
      <xdr:col>6</xdr:col>
      <xdr:colOff>943635</xdr:colOff>
      <xdr:row>52</xdr:row>
      <xdr:rowOff>42751</xdr:rowOff>
    </xdr:to>
    <xdr:sp macro="" textlink="">
      <xdr:nvSpPr>
        <xdr:cNvPr id="62" name="テキスト ボックス 61">
          <a:extLst>
            <a:ext uri="{FF2B5EF4-FFF2-40B4-BE49-F238E27FC236}">
              <a16:creationId xmlns:a16="http://schemas.microsoft.com/office/drawing/2014/main" id="{6879046E-3E99-4207-8C8C-AF46031B10FB}"/>
            </a:ext>
          </a:extLst>
        </xdr:cNvPr>
        <xdr:cNvSpPr txBox="1"/>
      </xdr:nvSpPr>
      <xdr:spPr>
        <a:xfrm>
          <a:off x="5528762" y="864404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34573</xdr:colOff>
      <xdr:row>64</xdr:row>
      <xdr:rowOff>97474</xdr:rowOff>
    </xdr:from>
    <xdr:to>
      <xdr:col>6</xdr:col>
      <xdr:colOff>422308</xdr:colOff>
      <xdr:row>67</xdr:row>
      <xdr:rowOff>81594</xdr:rowOff>
    </xdr:to>
    <xdr:sp macro="" textlink="">
      <xdr:nvSpPr>
        <xdr:cNvPr id="63" name="テキスト ボックス 62">
          <a:extLst>
            <a:ext uri="{FF2B5EF4-FFF2-40B4-BE49-F238E27FC236}">
              <a16:creationId xmlns:a16="http://schemas.microsoft.com/office/drawing/2014/main" id="{69DA69A0-E53A-421D-985D-CAD30BC7E627}"/>
            </a:ext>
          </a:extLst>
        </xdr:cNvPr>
        <xdr:cNvSpPr txBox="1"/>
      </xdr:nvSpPr>
      <xdr:spPr>
        <a:xfrm>
          <a:off x="503519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330041</xdr:colOff>
      <xdr:row>62</xdr:row>
      <xdr:rowOff>3810</xdr:rowOff>
    </xdr:from>
    <xdr:to>
      <xdr:col>6</xdr:col>
      <xdr:colOff>368141</xdr:colOff>
      <xdr:row>70</xdr:row>
      <xdr:rowOff>3810</xdr:rowOff>
    </xdr:to>
    <xdr:sp macro="" textlink="">
      <xdr:nvSpPr>
        <xdr:cNvPr id="64" name="正方形/長方形 63">
          <a:extLst>
            <a:ext uri="{FF2B5EF4-FFF2-40B4-BE49-F238E27FC236}">
              <a16:creationId xmlns:a16="http://schemas.microsoft.com/office/drawing/2014/main" id="{9813BB29-D7EC-461E-8224-CE5589E00EEC}"/>
            </a:ext>
          </a:extLst>
        </xdr:cNvPr>
        <xdr:cNvSpPr/>
      </xdr:nvSpPr>
      <xdr:spPr>
        <a:xfrm>
          <a:off x="533066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291941</xdr:colOff>
      <xdr:row>61</xdr:row>
      <xdr:rowOff>13335</xdr:rowOff>
    </xdr:from>
    <xdr:to>
      <xdr:col>6</xdr:col>
      <xdr:colOff>406241</xdr:colOff>
      <xdr:row>61</xdr:row>
      <xdr:rowOff>137160</xdr:rowOff>
    </xdr:to>
    <xdr:sp macro="" textlink="">
      <xdr:nvSpPr>
        <xdr:cNvPr id="65" name="テキスト ボックス 64">
          <a:extLst>
            <a:ext uri="{FF2B5EF4-FFF2-40B4-BE49-F238E27FC236}">
              <a16:creationId xmlns:a16="http://schemas.microsoft.com/office/drawing/2014/main" id="{69BD08CB-89C9-480A-8427-B8628E6E8B0A}"/>
            </a:ext>
          </a:extLst>
        </xdr:cNvPr>
        <xdr:cNvSpPr txBox="1"/>
      </xdr:nvSpPr>
      <xdr:spPr>
        <a:xfrm>
          <a:off x="529256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368141</xdr:colOff>
      <xdr:row>62</xdr:row>
      <xdr:rowOff>3810</xdr:rowOff>
    </xdr:from>
    <xdr:to>
      <xdr:col>6</xdr:col>
      <xdr:colOff>413861</xdr:colOff>
      <xdr:row>70</xdr:row>
      <xdr:rowOff>3810</xdr:rowOff>
    </xdr:to>
    <xdr:sp macro="" textlink="">
      <xdr:nvSpPr>
        <xdr:cNvPr id="66" name="正方形/長方形 65">
          <a:extLst>
            <a:ext uri="{FF2B5EF4-FFF2-40B4-BE49-F238E27FC236}">
              <a16:creationId xmlns:a16="http://schemas.microsoft.com/office/drawing/2014/main" id="{FEA176D0-055E-4C3B-BE2C-7C0529992169}"/>
            </a:ext>
          </a:extLst>
        </xdr:cNvPr>
        <xdr:cNvSpPr/>
      </xdr:nvSpPr>
      <xdr:spPr>
        <a:xfrm>
          <a:off x="536876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354806</xdr:colOff>
      <xdr:row>61</xdr:row>
      <xdr:rowOff>13335</xdr:rowOff>
    </xdr:from>
    <xdr:to>
      <xdr:col>6</xdr:col>
      <xdr:colOff>469106</xdr:colOff>
      <xdr:row>61</xdr:row>
      <xdr:rowOff>137160</xdr:rowOff>
    </xdr:to>
    <xdr:sp macro="" textlink="">
      <xdr:nvSpPr>
        <xdr:cNvPr id="67" name="テキスト ボックス 66">
          <a:extLst>
            <a:ext uri="{FF2B5EF4-FFF2-40B4-BE49-F238E27FC236}">
              <a16:creationId xmlns:a16="http://schemas.microsoft.com/office/drawing/2014/main" id="{6BE5CFF0-435A-40FF-AED7-5CF6F2942514}"/>
            </a:ext>
          </a:extLst>
        </xdr:cNvPr>
        <xdr:cNvSpPr txBox="1"/>
      </xdr:nvSpPr>
      <xdr:spPr>
        <a:xfrm>
          <a:off x="535543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547211</xdr:colOff>
      <xdr:row>61</xdr:row>
      <xdr:rowOff>13335</xdr:rowOff>
    </xdr:from>
    <xdr:to>
      <xdr:col>6</xdr:col>
      <xdr:colOff>661511</xdr:colOff>
      <xdr:row>61</xdr:row>
      <xdr:rowOff>137160</xdr:rowOff>
    </xdr:to>
    <xdr:sp macro="" textlink="">
      <xdr:nvSpPr>
        <xdr:cNvPr id="68" name="テキスト ボックス 67">
          <a:extLst>
            <a:ext uri="{FF2B5EF4-FFF2-40B4-BE49-F238E27FC236}">
              <a16:creationId xmlns:a16="http://schemas.microsoft.com/office/drawing/2014/main" id="{18F27E4F-029E-4389-B528-43AA59E54DE7}"/>
            </a:ext>
          </a:extLst>
        </xdr:cNvPr>
        <xdr:cNvSpPr txBox="1"/>
      </xdr:nvSpPr>
      <xdr:spPr>
        <a:xfrm>
          <a:off x="554783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794861</xdr:colOff>
      <xdr:row>62</xdr:row>
      <xdr:rowOff>3810</xdr:rowOff>
    </xdr:from>
    <xdr:to>
      <xdr:col>6</xdr:col>
      <xdr:colOff>840581</xdr:colOff>
      <xdr:row>70</xdr:row>
      <xdr:rowOff>3810</xdr:rowOff>
    </xdr:to>
    <xdr:sp macro="" textlink="">
      <xdr:nvSpPr>
        <xdr:cNvPr id="69" name="正方形/長方形 68">
          <a:extLst>
            <a:ext uri="{FF2B5EF4-FFF2-40B4-BE49-F238E27FC236}">
              <a16:creationId xmlns:a16="http://schemas.microsoft.com/office/drawing/2014/main" id="{6EA3EFDE-E0E6-467F-8198-32D040B8693A}"/>
            </a:ext>
          </a:extLst>
        </xdr:cNvPr>
        <xdr:cNvSpPr/>
      </xdr:nvSpPr>
      <xdr:spPr>
        <a:xfrm>
          <a:off x="579548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760571</xdr:colOff>
      <xdr:row>61</xdr:row>
      <xdr:rowOff>13335</xdr:rowOff>
    </xdr:from>
    <xdr:to>
      <xdr:col>6</xdr:col>
      <xdr:colOff>874871</xdr:colOff>
      <xdr:row>61</xdr:row>
      <xdr:rowOff>137160</xdr:rowOff>
    </xdr:to>
    <xdr:sp macro="" textlink="">
      <xdr:nvSpPr>
        <xdr:cNvPr id="70" name="テキスト ボックス 69">
          <a:extLst>
            <a:ext uri="{FF2B5EF4-FFF2-40B4-BE49-F238E27FC236}">
              <a16:creationId xmlns:a16="http://schemas.microsoft.com/office/drawing/2014/main" id="{9BBA0960-520E-44B1-AF49-0AA6169AFAD4}"/>
            </a:ext>
          </a:extLst>
        </xdr:cNvPr>
        <xdr:cNvSpPr txBox="1"/>
      </xdr:nvSpPr>
      <xdr:spPr>
        <a:xfrm>
          <a:off x="576119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840581</xdr:colOff>
      <xdr:row>62</xdr:row>
      <xdr:rowOff>3810</xdr:rowOff>
    </xdr:from>
    <xdr:to>
      <xdr:col>6</xdr:col>
      <xdr:colOff>878681</xdr:colOff>
      <xdr:row>70</xdr:row>
      <xdr:rowOff>3810</xdr:rowOff>
    </xdr:to>
    <xdr:sp macro="" textlink="">
      <xdr:nvSpPr>
        <xdr:cNvPr id="71" name="正方形/長方形 70">
          <a:extLst>
            <a:ext uri="{FF2B5EF4-FFF2-40B4-BE49-F238E27FC236}">
              <a16:creationId xmlns:a16="http://schemas.microsoft.com/office/drawing/2014/main" id="{0C807CB4-9BF7-4AB6-9168-9243BEC89800}"/>
            </a:ext>
          </a:extLst>
        </xdr:cNvPr>
        <xdr:cNvSpPr/>
      </xdr:nvSpPr>
      <xdr:spPr>
        <a:xfrm>
          <a:off x="584120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823436</xdr:colOff>
      <xdr:row>61</xdr:row>
      <xdr:rowOff>13335</xdr:rowOff>
    </xdr:from>
    <xdr:to>
      <xdr:col>6</xdr:col>
      <xdr:colOff>937736</xdr:colOff>
      <xdr:row>61</xdr:row>
      <xdr:rowOff>137160</xdr:rowOff>
    </xdr:to>
    <xdr:sp macro="" textlink="">
      <xdr:nvSpPr>
        <xdr:cNvPr id="72" name="テキスト ボックス 71">
          <a:extLst>
            <a:ext uri="{FF2B5EF4-FFF2-40B4-BE49-F238E27FC236}">
              <a16:creationId xmlns:a16="http://schemas.microsoft.com/office/drawing/2014/main" id="{3D5F4331-55FB-48AA-BE6F-FD5592AD0830}"/>
            </a:ext>
          </a:extLst>
        </xdr:cNvPr>
        <xdr:cNvSpPr txBox="1"/>
      </xdr:nvSpPr>
      <xdr:spPr>
        <a:xfrm>
          <a:off x="582406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989613</xdr:colOff>
      <xdr:row>64</xdr:row>
      <xdr:rowOff>97474</xdr:rowOff>
    </xdr:from>
    <xdr:to>
      <xdr:col>7</xdr:col>
      <xdr:colOff>34323</xdr:colOff>
      <xdr:row>67</xdr:row>
      <xdr:rowOff>81594</xdr:rowOff>
    </xdr:to>
    <xdr:sp macro="" textlink="">
      <xdr:nvSpPr>
        <xdr:cNvPr id="73" name="テキスト ボックス 72">
          <a:extLst>
            <a:ext uri="{FF2B5EF4-FFF2-40B4-BE49-F238E27FC236}">
              <a16:creationId xmlns:a16="http://schemas.microsoft.com/office/drawing/2014/main" id="{F88FE165-620F-4B5E-B115-B84252CA06C5}"/>
            </a:ext>
          </a:extLst>
        </xdr:cNvPr>
        <xdr:cNvSpPr txBox="1"/>
      </xdr:nvSpPr>
      <xdr:spPr>
        <a:xfrm>
          <a:off x="599023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72673</xdr:colOff>
      <xdr:row>81</xdr:row>
      <xdr:rowOff>97475</xdr:rowOff>
    </xdr:from>
    <xdr:to>
      <xdr:col>0</xdr:col>
      <xdr:colOff>460408</xdr:colOff>
      <xdr:row>84</xdr:row>
      <xdr:rowOff>81595</xdr:rowOff>
    </xdr:to>
    <xdr:sp macro="" textlink="">
      <xdr:nvSpPr>
        <xdr:cNvPr id="74" name="テキスト ボックス 73">
          <a:extLst>
            <a:ext uri="{FF2B5EF4-FFF2-40B4-BE49-F238E27FC236}">
              <a16:creationId xmlns:a16="http://schemas.microsoft.com/office/drawing/2014/main" id="{45B5BA38-59D1-485C-A4FB-8AB2BB820AE5}"/>
            </a:ext>
          </a:extLst>
        </xdr:cNvPr>
        <xdr:cNvSpPr txBox="1"/>
      </xdr:nvSpPr>
      <xdr:spPr>
        <a:xfrm>
          <a:off x="7267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368141</xdr:colOff>
      <xdr:row>79</xdr:row>
      <xdr:rowOff>3811</xdr:rowOff>
    </xdr:from>
    <xdr:to>
      <xdr:col>0</xdr:col>
      <xdr:colOff>413861</xdr:colOff>
      <xdr:row>87</xdr:row>
      <xdr:rowOff>3811</xdr:rowOff>
    </xdr:to>
    <xdr:sp macro="" textlink="">
      <xdr:nvSpPr>
        <xdr:cNvPr id="75" name="正方形/長方形 74">
          <a:extLst>
            <a:ext uri="{FF2B5EF4-FFF2-40B4-BE49-F238E27FC236}">
              <a16:creationId xmlns:a16="http://schemas.microsoft.com/office/drawing/2014/main" id="{1048C44F-C230-4489-822F-0C92C7DCB0E1}"/>
            </a:ext>
          </a:extLst>
        </xdr:cNvPr>
        <xdr:cNvSpPr/>
      </xdr:nvSpPr>
      <xdr:spPr>
        <a:xfrm>
          <a:off x="36814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333851</xdr:colOff>
      <xdr:row>78</xdr:row>
      <xdr:rowOff>13336</xdr:rowOff>
    </xdr:from>
    <xdr:to>
      <xdr:col>0</xdr:col>
      <xdr:colOff>448151</xdr:colOff>
      <xdr:row>78</xdr:row>
      <xdr:rowOff>137161</xdr:rowOff>
    </xdr:to>
    <xdr:sp macro="" textlink="">
      <xdr:nvSpPr>
        <xdr:cNvPr id="76" name="テキスト ボックス 75">
          <a:extLst>
            <a:ext uri="{FF2B5EF4-FFF2-40B4-BE49-F238E27FC236}">
              <a16:creationId xmlns:a16="http://schemas.microsoft.com/office/drawing/2014/main" id="{2B04B645-502E-4EA9-978B-32254A8249F3}"/>
            </a:ext>
          </a:extLst>
        </xdr:cNvPr>
        <xdr:cNvSpPr txBox="1"/>
      </xdr:nvSpPr>
      <xdr:spPr>
        <a:xfrm>
          <a:off x="33385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547211</xdr:colOff>
      <xdr:row>78</xdr:row>
      <xdr:rowOff>13336</xdr:rowOff>
    </xdr:from>
    <xdr:to>
      <xdr:col>0</xdr:col>
      <xdr:colOff>661511</xdr:colOff>
      <xdr:row>78</xdr:row>
      <xdr:rowOff>137161</xdr:rowOff>
    </xdr:to>
    <xdr:sp macro="" textlink="">
      <xdr:nvSpPr>
        <xdr:cNvPr id="77" name="テキスト ボックス 76">
          <a:extLst>
            <a:ext uri="{FF2B5EF4-FFF2-40B4-BE49-F238E27FC236}">
              <a16:creationId xmlns:a16="http://schemas.microsoft.com/office/drawing/2014/main" id="{5F245DD4-7C82-4449-AA92-9858AF9B25B9}"/>
            </a:ext>
          </a:extLst>
        </xdr:cNvPr>
        <xdr:cNvSpPr txBox="1"/>
      </xdr:nvSpPr>
      <xdr:spPr>
        <a:xfrm>
          <a:off x="54721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794861</xdr:colOff>
      <xdr:row>79</xdr:row>
      <xdr:rowOff>3811</xdr:rowOff>
    </xdr:from>
    <xdr:to>
      <xdr:col>0</xdr:col>
      <xdr:colOff>840581</xdr:colOff>
      <xdr:row>87</xdr:row>
      <xdr:rowOff>3811</xdr:rowOff>
    </xdr:to>
    <xdr:sp macro="" textlink="">
      <xdr:nvSpPr>
        <xdr:cNvPr id="78" name="正方形/長方形 77">
          <a:extLst>
            <a:ext uri="{FF2B5EF4-FFF2-40B4-BE49-F238E27FC236}">
              <a16:creationId xmlns:a16="http://schemas.microsoft.com/office/drawing/2014/main" id="{E82C7006-1DC3-4783-A0CD-1201CB39548D}"/>
            </a:ext>
          </a:extLst>
        </xdr:cNvPr>
        <xdr:cNvSpPr/>
      </xdr:nvSpPr>
      <xdr:spPr>
        <a:xfrm>
          <a:off x="79486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760571</xdr:colOff>
      <xdr:row>78</xdr:row>
      <xdr:rowOff>13336</xdr:rowOff>
    </xdr:from>
    <xdr:to>
      <xdr:col>0</xdr:col>
      <xdr:colOff>874871</xdr:colOff>
      <xdr:row>78</xdr:row>
      <xdr:rowOff>137161</xdr:rowOff>
    </xdr:to>
    <xdr:sp macro="" textlink="">
      <xdr:nvSpPr>
        <xdr:cNvPr id="79" name="テキスト ボックス 78">
          <a:extLst>
            <a:ext uri="{FF2B5EF4-FFF2-40B4-BE49-F238E27FC236}">
              <a16:creationId xmlns:a16="http://schemas.microsoft.com/office/drawing/2014/main" id="{5E01D80C-F403-45A7-967E-A00A41F69B21}"/>
            </a:ext>
          </a:extLst>
        </xdr:cNvPr>
        <xdr:cNvSpPr txBox="1"/>
      </xdr:nvSpPr>
      <xdr:spPr>
        <a:xfrm>
          <a:off x="76057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951513</xdr:colOff>
      <xdr:row>81</xdr:row>
      <xdr:rowOff>97475</xdr:rowOff>
    </xdr:from>
    <xdr:to>
      <xdr:col>0</xdr:col>
      <xdr:colOff>1339248</xdr:colOff>
      <xdr:row>84</xdr:row>
      <xdr:rowOff>81595</xdr:rowOff>
    </xdr:to>
    <xdr:sp macro="" textlink="">
      <xdr:nvSpPr>
        <xdr:cNvPr id="80" name="テキスト ボックス 79">
          <a:extLst>
            <a:ext uri="{FF2B5EF4-FFF2-40B4-BE49-F238E27FC236}">
              <a16:creationId xmlns:a16="http://schemas.microsoft.com/office/drawing/2014/main" id="{DEAC499D-B75A-4CBC-9E51-C138304E0591}"/>
            </a:ext>
          </a:extLst>
        </xdr:cNvPr>
        <xdr:cNvSpPr txBox="1"/>
      </xdr:nvSpPr>
      <xdr:spPr>
        <a:xfrm>
          <a:off x="95151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53623</xdr:colOff>
      <xdr:row>98</xdr:row>
      <xdr:rowOff>97475</xdr:rowOff>
    </xdr:from>
    <xdr:to>
      <xdr:col>0</xdr:col>
      <xdr:colOff>441358</xdr:colOff>
      <xdr:row>101</xdr:row>
      <xdr:rowOff>81595</xdr:rowOff>
    </xdr:to>
    <xdr:sp macro="" textlink="">
      <xdr:nvSpPr>
        <xdr:cNvPr id="81" name="テキスト ボックス 80">
          <a:extLst>
            <a:ext uri="{FF2B5EF4-FFF2-40B4-BE49-F238E27FC236}">
              <a16:creationId xmlns:a16="http://schemas.microsoft.com/office/drawing/2014/main" id="{2CA519BF-7B33-4060-8FFD-424E10699712}"/>
            </a:ext>
          </a:extLst>
        </xdr:cNvPr>
        <xdr:cNvSpPr txBox="1"/>
      </xdr:nvSpPr>
      <xdr:spPr>
        <a:xfrm>
          <a:off x="5362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349091</xdr:colOff>
      <xdr:row>96</xdr:row>
      <xdr:rowOff>3811</xdr:rowOff>
    </xdr:from>
    <xdr:to>
      <xdr:col>0</xdr:col>
      <xdr:colOff>387191</xdr:colOff>
      <xdr:row>104</xdr:row>
      <xdr:rowOff>3811</xdr:rowOff>
    </xdr:to>
    <xdr:sp macro="" textlink="">
      <xdr:nvSpPr>
        <xdr:cNvPr id="82" name="正方形/長方形 81">
          <a:extLst>
            <a:ext uri="{FF2B5EF4-FFF2-40B4-BE49-F238E27FC236}">
              <a16:creationId xmlns:a16="http://schemas.microsoft.com/office/drawing/2014/main" id="{D92FC97B-252A-42AB-BB62-98B6D101D9F8}"/>
            </a:ext>
          </a:extLst>
        </xdr:cNvPr>
        <xdr:cNvSpPr/>
      </xdr:nvSpPr>
      <xdr:spPr>
        <a:xfrm>
          <a:off x="349091" y="16434436"/>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310991</xdr:colOff>
      <xdr:row>95</xdr:row>
      <xdr:rowOff>13336</xdr:rowOff>
    </xdr:from>
    <xdr:to>
      <xdr:col>0</xdr:col>
      <xdr:colOff>425291</xdr:colOff>
      <xdr:row>95</xdr:row>
      <xdr:rowOff>137161</xdr:rowOff>
    </xdr:to>
    <xdr:sp macro="" textlink="">
      <xdr:nvSpPr>
        <xdr:cNvPr id="83" name="テキスト ボックス 82">
          <a:extLst>
            <a:ext uri="{FF2B5EF4-FFF2-40B4-BE49-F238E27FC236}">
              <a16:creationId xmlns:a16="http://schemas.microsoft.com/office/drawing/2014/main" id="{2D5A7FBC-0205-49DA-BE6A-C336D1780A06}"/>
            </a:ext>
          </a:extLst>
        </xdr:cNvPr>
        <xdr:cNvSpPr txBox="1"/>
      </xdr:nvSpPr>
      <xdr:spPr>
        <a:xfrm>
          <a:off x="31099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387191</xdr:colOff>
      <xdr:row>96</xdr:row>
      <xdr:rowOff>3811</xdr:rowOff>
    </xdr:from>
    <xdr:to>
      <xdr:col>0</xdr:col>
      <xdr:colOff>432911</xdr:colOff>
      <xdr:row>104</xdr:row>
      <xdr:rowOff>3811</xdr:rowOff>
    </xdr:to>
    <xdr:sp macro="" textlink="">
      <xdr:nvSpPr>
        <xdr:cNvPr id="84" name="正方形/長方形 83">
          <a:extLst>
            <a:ext uri="{FF2B5EF4-FFF2-40B4-BE49-F238E27FC236}">
              <a16:creationId xmlns:a16="http://schemas.microsoft.com/office/drawing/2014/main" id="{5C535A74-DD1C-40FB-9898-E7B8EC087FE4}"/>
            </a:ext>
          </a:extLst>
        </xdr:cNvPr>
        <xdr:cNvSpPr/>
      </xdr:nvSpPr>
      <xdr:spPr>
        <a:xfrm>
          <a:off x="38719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373856</xdr:colOff>
      <xdr:row>95</xdr:row>
      <xdr:rowOff>13336</xdr:rowOff>
    </xdr:from>
    <xdr:to>
      <xdr:col>0</xdr:col>
      <xdr:colOff>488156</xdr:colOff>
      <xdr:row>95</xdr:row>
      <xdr:rowOff>137161</xdr:rowOff>
    </xdr:to>
    <xdr:sp macro="" textlink="">
      <xdr:nvSpPr>
        <xdr:cNvPr id="85" name="テキスト ボックス 84">
          <a:extLst>
            <a:ext uri="{FF2B5EF4-FFF2-40B4-BE49-F238E27FC236}">
              <a16:creationId xmlns:a16="http://schemas.microsoft.com/office/drawing/2014/main" id="{771E5F56-449E-474B-B505-121D935B3F65}"/>
            </a:ext>
          </a:extLst>
        </xdr:cNvPr>
        <xdr:cNvSpPr txBox="1"/>
      </xdr:nvSpPr>
      <xdr:spPr>
        <a:xfrm>
          <a:off x="373856"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566261</xdr:colOff>
      <xdr:row>95</xdr:row>
      <xdr:rowOff>13336</xdr:rowOff>
    </xdr:from>
    <xdr:to>
      <xdr:col>0</xdr:col>
      <xdr:colOff>680561</xdr:colOff>
      <xdr:row>95</xdr:row>
      <xdr:rowOff>137161</xdr:rowOff>
    </xdr:to>
    <xdr:sp macro="" textlink="">
      <xdr:nvSpPr>
        <xdr:cNvPr id="86" name="テキスト ボックス 85">
          <a:extLst>
            <a:ext uri="{FF2B5EF4-FFF2-40B4-BE49-F238E27FC236}">
              <a16:creationId xmlns:a16="http://schemas.microsoft.com/office/drawing/2014/main" id="{9A034118-BD14-42DD-ADE8-34626C530BA9}"/>
            </a:ext>
          </a:extLst>
        </xdr:cNvPr>
        <xdr:cNvSpPr txBox="1"/>
      </xdr:nvSpPr>
      <xdr:spPr>
        <a:xfrm>
          <a:off x="56626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813911</xdr:colOff>
      <xdr:row>96</xdr:row>
      <xdr:rowOff>3811</xdr:rowOff>
    </xdr:from>
    <xdr:to>
      <xdr:col>0</xdr:col>
      <xdr:colOff>859631</xdr:colOff>
      <xdr:row>104</xdr:row>
      <xdr:rowOff>3811</xdr:rowOff>
    </xdr:to>
    <xdr:sp macro="" textlink="">
      <xdr:nvSpPr>
        <xdr:cNvPr id="87" name="正方形/長方形 86">
          <a:extLst>
            <a:ext uri="{FF2B5EF4-FFF2-40B4-BE49-F238E27FC236}">
              <a16:creationId xmlns:a16="http://schemas.microsoft.com/office/drawing/2014/main" id="{48FF6142-D375-475D-ABF5-A890D935D5FC}"/>
            </a:ext>
          </a:extLst>
        </xdr:cNvPr>
        <xdr:cNvSpPr/>
      </xdr:nvSpPr>
      <xdr:spPr>
        <a:xfrm>
          <a:off x="81391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779621</xdr:colOff>
      <xdr:row>95</xdr:row>
      <xdr:rowOff>13336</xdr:rowOff>
    </xdr:from>
    <xdr:to>
      <xdr:col>0</xdr:col>
      <xdr:colOff>893921</xdr:colOff>
      <xdr:row>95</xdr:row>
      <xdr:rowOff>137161</xdr:rowOff>
    </xdr:to>
    <xdr:sp macro="" textlink="">
      <xdr:nvSpPr>
        <xdr:cNvPr id="88" name="テキスト ボックス 87">
          <a:extLst>
            <a:ext uri="{FF2B5EF4-FFF2-40B4-BE49-F238E27FC236}">
              <a16:creationId xmlns:a16="http://schemas.microsoft.com/office/drawing/2014/main" id="{DC3A37D1-15EE-4739-A6E4-457F9B105A17}"/>
            </a:ext>
          </a:extLst>
        </xdr:cNvPr>
        <xdr:cNvSpPr txBox="1"/>
      </xdr:nvSpPr>
      <xdr:spPr>
        <a:xfrm>
          <a:off x="77962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970563</xdr:colOff>
      <xdr:row>98</xdr:row>
      <xdr:rowOff>97475</xdr:rowOff>
    </xdr:from>
    <xdr:to>
      <xdr:col>1</xdr:col>
      <xdr:colOff>15273</xdr:colOff>
      <xdr:row>101</xdr:row>
      <xdr:rowOff>81595</xdr:rowOff>
    </xdr:to>
    <xdr:sp macro="" textlink="">
      <xdr:nvSpPr>
        <xdr:cNvPr id="89" name="テキスト ボックス 88">
          <a:extLst>
            <a:ext uri="{FF2B5EF4-FFF2-40B4-BE49-F238E27FC236}">
              <a16:creationId xmlns:a16="http://schemas.microsoft.com/office/drawing/2014/main" id="{8D1F5B0F-F12F-4343-9084-DC784C0D4568}"/>
            </a:ext>
          </a:extLst>
        </xdr:cNvPr>
        <xdr:cNvSpPr txBox="1"/>
      </xdr:nvSpPr>
      <xdr:spPr>
        <a:xfrm>
          <a:off x="97056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77</xdr:row>
      <xdr:rowOff>135049</xdr:rowOff>
    </xdr:from>
    <xdr:to>
      <xdr:col>6</xdr:col>
      <xdr:colOff>943635</xdr:colOff>
      <xdr:row>79</xdr:row>
      <xdr:rowOff>77676</xdr:rowOff>
    </xdr:to>
    <xdr:sp macro="" textlink="">
      <xdr:nvSpPr>
        <xdr:cNvPr id="90" name="テキスト ボックス 89">
          <a:extLst>
            <a:ext uri="{FF2B5EF4-FFF2-40B4-BE49-F238E27FC236}">
              <a16:creationId xmlns:a16="http://schemas.microsoft.com/office/drawing/2014/main" id="{CC4214ED-C9BD-4BC2-912B-F267F08F56E1}"/>
            </a:ext>
          </a:extLst>
        </xdr:cNvPr>
        <xdr:cNvSpPr txBox="1"/>
      </xdr:nvSpPr>
      <xdr:spPr>
        <a:xfrm>
          <a:off x="5528762" y="133081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79</xdr:row>
      <xdr:rowOff>160116</xdr:rowOff>
    </xdr:from>
    <xdr:to>
      <xdr:col>6</xdr:col>
      <xdr:colOff>151527</xdr:colOff>
      <xdr:row>80</xdr:row>
      <xdr:rowOff>112491</xdr:rowOff>
    </xdr:to>
    <xdr:sp macro="" textlink="">
      <xdr:nvSpPr>
        <xdr:cNvPr id="92" name="テキスト ボックス 91">
          <a:extLst>
            <a:ext uri="{FF2B5EF4-FFF2-40B4-BE49-F238E27FC236}">
              <a16:creationId xmlns:a16="http://schemas.microsoft.com/office/drawing/2014/main" id="{D84D0D77-3599-4EC3-B324-0C9C03F7021B}"/>
            </a:ext>
          </a:extLst>
        </xdr:cNvPr>
        <xdr:cNvSpPr txBox="1"/>
      </xdr:nvSpPr>
      <xdr:spPr>
        <a:xfrm>
          <a:off x="5037852" y="1367609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60485</xdr:rowOff>
    </xdr:from>
    <xdr:to>
      <xdr:col>6</xdr:col>
      <xdr:colOff>151527</xdr:colOff>
      <xdr:row>81</xdr:row>
      <xdr:rowOff>12860</xdr:rowOff>
    </xdr:to>
    <xdr:sp macro="" textlink="">
      <xdr:nvSpPr>
        <xdr:cNvPr id="94" name="テキスト ボックス 93">
          <a:extLst>
            <a:ext uri="{FF2B5EF4-FFF2-40B4-BE49-F238E27FC236}">
              <a16:creationId xmlns:a16="http://schemas.microsoft.com/office/drawing/2014/main" id="{B7B4DAEE-BD75-406F-9D1A-128FC36791F3}"/>
            </a:ext>
          </a:extLst>
        </xdr:cNvPr>
        <xdr:cNvSpPr txBox="1"/>
      </xdr:nvSpPr>
      <xdr:spPr>
        <a:xfrm>
          <a:off x="5037852" y="13747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158401</xdr:rowOff>
    </xdr:from>
    <xdr:to>
      <xdr:col>6</xdr:col>
      <xdr:colOff>151527</xdr:colOff>
      <xdr:row>81</xdr:row>
      <xdr:rowOff>110776</xdr:rowOff>
    </xdr:to>
    <xdr:sp macro="" textlink="">
      <xdr:nvSpPr>
        <xdr:cNvPr id="96" name="テキスト ボックス 95">
          <a:extLst>
            <a:ext uri="{FF2B5EF4-FFF2-40B4-BE49-F238E27FC236}">
              <a16:creationId xmlns:a16="http://schemas.microsoft.com/office/drawing/2014/main" id="{252B9249-5ABE-49B9-8B63-DDE4CC5B3507}"/>
            </a:ext>
          </a:extLst>
        </xdr:cNvPr>
        <xdr:cNvSpPr txBox="1"/>
      </xdr:nvSpPr>
      <xdr:spPr>
        <a:xfrm>
          <a:off x="5037852" y="1384582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82</xdr:row>
      <xdr:rowOff>162686</xdr:rowOff>
    </xdr:from>
    <xdr:to>
      <xdr:col>6</xdr:col>
      <xdr:colOff>151527</xdr:colOff>
      <xdr:row>83</xdr:row>
      <xdr:rowOff>115061</xdr:rowOff>
    </xdr:to>
    <xdr:sp macro="" textlink="">
      <xdr:nvSpPr>
        <xdr:cNvPr id="97" name="テキスト ボックス 96">
          <a:extLst>
            <a:ext uri="{FF2B5EF4-FFF2-40B4-BE49-F238E27FC236}">
              <a16:creationId xmlns:a16="http://schemas.microsoft.com/office/drawing/2014/main" id="{4817A6D1-2F25-42A5-B0AA-68FA674D0CBD}"/>
            </a:ext>
          </a:extLst>
        </xdr:cNvPr>
        <xdr:cNvSpPr txBox="1"/>
      </xdr:nvSpPr>
      <xdr:spPr>
        <a:xfrm>
          <a:off x="5037852" y="141930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84</xdr:row>
      <xdr:rowOff>58959</xdr:rowOff>
    </xdr:from>
    <xdr:to>
      <xdr:col>6</xdr:col>
      <xdr:colOff>151527</xdr:colOff>
      <xdr:row>85</xdr:row>
      <xdr:rowOff>11334</xdr:rowOff>
    </xdr:to>
    <xdr:sp macro="" textlink="">
      <xdr:nvSpPr>
        <xdr:cNvPr id="99" name="テキスト ボックス 98">
          <a:extLst>
            <a:ext uri="{FF2B5EF4-FFF2-40B4-BE49-F238E27FC236}">
              <a16:creationId xmlns:a16="http://schemas.microsoft.com/office/drawing/2014/main" id="{9C186F3F-79D7-49D5-A31B-B6A09ECCBCF5}"/>
            </a:ext>
          </a:extLst>
        </xdr:cNvPr>
        <xdr:cNvSpPr txBox="1"/>
      </xdr:nvSpPr>
      <xdr:spPr>
        <a:xfrm>
          <a:off x="5037852" y="1443218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84</xdr:row>
      <xdr:rowOff>100122</xdr:rowOff>
    </xdr:from>
    <xdr:to>
      <xdr:col>6</xdr:col>
      <xdr:colOff>943635</xdr:colOff>
      <xdr:row>86</xdr:row>
      <xdr:rowOff>42749</xdr:rowOff>
    </xdr:to>
    <xdr:sp macro="" textlink="">
      <xdr:nvSpPr>
        <xdr:cNvPr id="100" name="テキスト ボックス 99">
          <a:extLst>
            <a:ext uri="{FF2B5EF4-FFF2-40B4-BE49-F238E27FC236}">
              <a16:creationId xmlns:a16="http://schemas.microsoft.com/office/drawing/2014/main" id="{D8A771A3-2EBE-4D99-ADA1-1DB9CDCC2809}"/>
            </a:ext>
          </a:extLst>
        </xdr:cNvPr>
        <xdr:cNvSpPr txBox="1"/>
      </xdr:nvSpPr>
      <xdr:spPr>
        <a:xfrm>
          <a:off x="5528762" y="14473347"/>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96</xdr:row>
      <xdr:rowOff>139811</xdr:rowOff>
    </xdr:from>
    <xdr:to>
      <xdr:col>6</xdr:col>
      <xdr:colOff>943635</xdr:colOff>
      <xdr:row>98</xdr:row>
      <xdr:rowOff>82438</xdr:rowOff>
    </xdr:to>
    <xdr:sp macro="" textlink="">
      <xdr:nvSpPr>
        <xdr:cNvPr id="101" name="テキスト ボックス 100">
          <a:extLst>
            <a:ext uri="{FF2B5EF4-FFF2-40B4-BE49-F238E27FC236}">
              <a16:creationId xmlns:a16="http://schemas.microsoft.com/office/drawing/2014/main" id="{AE296690-99C8-43C3-B60D-4DABACE621DF}"/>
            </a:ext>
          </a:extLst>
        </xdr:cNvPr>
        <xdr:cNvSpPr txBox="1"/>
      </xdr:nvSpPr>
      <xdr:spPr>
        <a:xfrm>
          <a:off x="5528762" y="165704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99</xdr:row>
      <xdr:rowOff>4763</xdr:rowOff>
    </xdr:from>
    <xdr:to>
      <xdr:col>6</xdr:col>
      <xdr:colOff>151527</xdr:colOff>
      <xdr:row>99</xdr:row>
      <xdr:rowOff>128588</xdr:rowOff>
    </xdr:to>
    <xdr:sp macro="" textlink="">
      <xdr:nvSpPr>
        <xdr:cNvPr id="103" name="テキスト ボックス 102">
          <a:extLst>
            <a:ext uri="{FF2B5EF4-FFF2-40B4-BE49-F238E27FC236}">
              <a16:creationId xmlns:a16="http://schemas.microsoft.com/office/drawing/2014/main" id="{5F95B888-0838-4B33-8762-E5A428EFC65F}"/>
            </a:ext>
          </a:extLst>
        </xdr:cNvPr>
        <xdr:cNvSpPr txBox="1"/>
      </xdr:nvSpPr>
      <xdr:spPr>
        <a:xfrm>
          <a:off x="5037852" y="16949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99</xdr:row>
      <xdr:rowOff>76581</xdr:rowOff>
    </xdr:from>
    <xdr:to>
      <xdr:col>6</xdr:col>
      <xdr:colOff>151527</xdr:colOff>
      <xdr:row>100</xdr:row>
      <xdr:rowOff>28956</xdr:rowOff>
    </xdr:to>
    <xdr:sp macro="" textlink="">
      <xdr:nvSpPr>
        <xdr:cNvPr id="105" name="テキスト ボックス 104">
          <a:extLst>
            <a:ext uri="{FF2B5EF4-FFF2-40B4-BE49-F238E27FC236}">
              <a16:creationId xmlns:a16="http://schemas.microsoft.com/office/drawing/2014/main" id="{E74891AC-1D0A-4E31-922A-09DDC8DBE985}"/>
            </a:ext>
          </a:extLst>
        </xdr:cNvPr>
        <xdr:cNvSpPr txBox="1"/>
      </xdr:nvSpPr>
      <xdr:spPr>
        <a:xfrm>
          <a:off x="5037852" y="170215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99</xdr:row>
      <xdr:rowOff>95361</xdr:rowOff>
    </xdr:from>
    <xdr:to>
      <xdr:col>6</xdr:col>
      <xdr:colOff>943635</xdr:colOff>
      <xdr:row>101</xdr:row>
      <xdr:rowOff>37988</xdr:rowOff>
    </xdr:to>
    <xdr:sp macro="" textlink="">
      <xdr:nvSpPr>
        <xdr:cNvPr id="106" name="テキスト ボックス 105">
          <a:extLst>
            <a:ext uri="{FF2B5EF4-FFF2-40B4-BE49-F238E27FC236}">
              <a16:creationId xmlns:a16="http://schemas.microsoft.com/office/drawing/2014/main" id="{13153749-1047-4BE2-A3F3-711FD9633522}"/>
            </a:ext>
          </a:extLst>
        </xdr:cNvPr>
        <xdr:cNvSpPr txBox="1"/>
      </xdr:nvSpPr>
      <xdr:spPr>
        <a:xfrm>
          <a:off x="5528762" y="170403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111</xdr:row>
      <xdr:rowOff>158861</xdr:rowOff>
    </xdr:from>
    <xdr:to>
      <xdr:col>0</xdr:col>
      <xdr:colOff>943635</xdr:colOff>
      <xdr:row>113</xdr:row>
      <xdr:rowOff>101488</xdr:rowOff>
    </xdr:to>
    <xdr:sp macro="" textlink="">
      <xdr:nvSpPr>
        <xdr:cNvPr id="107" name="テキスト ボックス 106">
          <a:extLst>
            <a:ext uri="{FF2B5EF4-FFF2-40B4-BE49-F238E27FC236}">
              <a16:creationId xmlns:a16="http://schemas.microsoft.com/office/drawing/2014/main" id="{F5A4DB2D-190E-4A78-923A-7DA61829A67E}"/>
            </a:ext>
          </a:extLst>
        </xdr:cNvPr>
        <xdr:cNvSpPr txBox="1"/>
      </xdr:nvSpPr>
      <xdr:spPr>
        <a:xfrm>
          <a:off x="528137" y="191612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114</xdr:row>
      <xdr:rowOff>23813</xdr:rowOff>
    </xdr:from>
    <xdr:to>
      <xdr:col>0</xdr:col>
      <xdr:colOff>151527</xdr:colOff>
      <xdr:row>114</xdr:row>
      <xdr:rowOff>147638</xdr:rowOff>
    </xdr:to>
    <xdr:sp macro="" textlink="">
      <xdr:nvSpPr>
        <xdr:cNvPr id="109" name="テキスト ボックス 108">
          <a:extLst>
            <a:ext uri="{FF2B5EF4-FFF2-40B4-BE49-F238E27FC236}">
              <a16:creationId xmlns:a16="http://schemas.microsoft.com/office/drawing/2014/main" id="{A8320557-401A-40AB-91FA-D78263996F1A}"/>
            </a:ext>
          </a:extLst>
        </xdr:cNvPr>
        <xdr:cNvSpPr txBox="1"/>
      </xdr:nvSpPr>
      <xdr:spPr>
        <a:xfrm>
          <a:off x="37227" y="195405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114</xdr:row>
      <xdr:rowOff>100013</xdr:rowOff>
    </xdr:from>
    <xdr:to>
      <xdr:col>0</xdr:col>
      <xdr:colOff>151527</xdr:colOff>
      <xdr:row>115</xdr:row>
      <xdr:rowOff>52388</xdr:rowOff>
    </xdr:to>
    <xdr:sp macro="" textlink="">
      <xdr:nvSpPr>
        <xdr:cNvPr id="111" name="テキスト ボックス 110">
          <a:extLst>
            <a:ext uri="{FF2B5EF4-FFF2-40B4-BE49-F238E27FC236}">
              <a16:creationId xmlns:a16="http://schemas.microsoft.com/office/drawing/2014/main" id="{0D158A5F-A59C-4375-946D-3C9C9EBC8CFB}"/>
            </a:ext>
          </a:extLst>
        </xdr:cNvPr>
        <xdr:cNvSpPr txBox="1"/>
      </xdr:nvSpPr>
      <xdr:spPr>
        <a:xfrm>
          <a:off x="37227" y="19616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116</xdr:row>
      <xdr:rowOff>100013</xdr:rowOff>
    </xdr:from>
    <xdr:to>
      <xdr:col>0</xdr:col>
      <xdr:colOff>151527</xdr:colOff>
      <xdr:row>117</xdr:row>
      <xdr:rowOff>52388</xdr:rowOff>
    </xdr:to>
    <xdr:sp macro="" textlink="">
      <xdr:nvSpPr>
        <xdr:cNvPr id="113" name="テキスト ボックス 112">
          <a:extLst>
            <a:ext uri="{FF2B5EF4-FFF2-40B4-BE49-F238E27FC236}">
              <a16:creationId xmlns:a16="http://schemas.microsoft.com/office/drawing/2014/main" id="{7FFB8FC8-7455-408E-9A35-921BE1914326}"/>
            </a:ext>
          </a:extLst>
        </xdr:cNvPr>
        <xdr:cNvSpPr txBox="1"/>
      </xdr:nvSpPr>
      <xdr:spPr>
        <a:xfrm>
          <a:off x="37227" y="199596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118</xdr:row>
      <xdr:rowOff>76311</xdr:rowOff>
    </xdr:from>
    <xdr:to>
      <xdr:col>0</xdr:col>
      <xdr:colOff>943635</xdr:colOff>
      <xdr:row>120</xdr:row>
      <xdr:rowOff>18938</xdr:rowOff>
    </xdr:to>
    <xdr:sp macro="" textlink="">
      <xdr:nvSpPr>
        <xdr:cNvPr id="114" name="テキスト ボックス 113">
          <a:extLst>
            <a:ext uri="{FF2B5EF4-FFF2-40B4-BE49-F238E27FC236}">
              <a16:creationId xmlns:a16="http://schemas.microsoft.com/office/drawing/2014/main" id="{3C08EF10-791D-45CC-980A-AF87698C495D}"/>
            </a:ext>
          </a:extLst>
        </xdr:cNvPr>
        <xdr:cNvSpPr txBox="1"/>
      </xdr:nvSpPr>
      <xdr:spPr>
        <a:xfrm>
          <a:off x="528137" y="202788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128</xdr:row>
      <xdr:rowOff>135049</xdr:rowOff>
    </xdr:from>
    <xdr:to>
      <xdr:col>0</xdr:col>
      <xdr:colOff>943635</xdr:colOff>
      <xdr:row>130</xdr:row>
      <xdr:rowOff>77676</xdr:rowOff>
    </xdr:to>
    <xdr:sp macro="" textlink="">
      <xdr:nvSpPr>
        <xdr:cNvPr id="115" name="テキスト ボックス 114">
          <a:extLst>
            <a:ext uri="{FF2B5EF4-FFF2-40B4-BE49-F238E27FC236}">
              <a16:creationId xmlns:a16="http://schemas.microsoft.com/office/drawing/2014/main" id="{3D318FD9-0C1C-40DE-9B8B-07832FFB5573}"/>
            </a:ext>
          </a:extLst>
        </xdr:cNvPr>
        <xdr:cNvSpPr txBox="1"/>
      </xdr:nvSpPr>
      <xdr:spPr>
        <a:xfrm>
          <a:off x="528137" y="220520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130</xdr:row>
      <xdr:rowOff>160054</xdr:rowOff>
    </xdr:from>
    <xdr:to>
      <xdr:col>0</xdr:col>
      <xdr:colOff>151527</xdr:colOff>
      <xdr:row>131</xdr:row>
      <xdr:rowOff>112429</xdr:rowOff>
    </xdr:to>
    <xdr:sp macro="" textlink="">
      <xdr:nvSpPr>
        <xdr:cNvPr id="117" name="テキスト ボックス 116">
          <a:extLst>
            <a:ext uri="{FF2B5EF4-FFF2-40B4-BE49-F238E27FC236}">
              <a16:creationId xmlns:a16="http://schemas.microsoft.com/office/drawing/2014/main" id="{06AFA61E-73B2-4B85-A326-CD142E3AA63B}"/>
            </a:ext>
          </a:extLst>
        </xdr:cNvPr>
        <xdr:cNvSpPr txBox="1"/>
      </xdr:nvSpPr>
      <xdr:spPr>
        <a:xfrm>
          <a:off x="37227" y="2241997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60423</xdr:rowOff>
    </xdr:from>
    <xdr:to>
      <xdr:col>0</xdr:col>
      <xdr:colOff>151527</xdr:colOff>
      <xdr:row>132</xdr:row>
      <xdr:rowOff>12798</xdr:rowOff>
    </xdr:to>
    <xdr:sp macro="" textlink="">
      <xdr:nvSpPr>
        <xdr:cNvPr id="119" name="テキスト ボックス 118">
          <a:extLst>
            <a:ext uri="{FF2B5EF4-FFF2-40B4-BE49-F238E27FC236}">
              <a16:creationId xmlns:a16="http://schemas.microsoft.com/office/drawing/2014/main" id="{F97769D3-56DE-4DB1-9D92-DAF74B493D23}"/>
            </a:ext>
          </a:extLst>
        </xdr:cNvPr>
        <xdr:cNvSpPr txBox="1"/>
      </xdr:nvSpPr>
      <xdr:spPr>
        <a:xfrm>
          <a:off x="37227" y="224917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156992</xdr:rowOff>
    </xdr:from>
    <xdr:to>
      <xdr:col>0</xdr:col>
      <xdr:colOff>151527</xdr:colOff>
      <xdr:row>132</xdr:row>
      <xdr:rowOff>109367</xdr:rowOff>
    </xdr:to>
    <xdr:sp macro="" textlink="">
      <xdr:nvSpPr>
        <xdr:cNvPr id="121" name="テキスト ボックス 120">
          <a:extLst>
            <a:ext uri="{FF2B5EF4-FFF2-40B4-BE49-F238E27FC236}">
              <a16:creationId xmlns:a16="http://schemas.microsoft.com/office/drawing/2014/main" id="{E3DB6DA6-1C85-41E2-9AB7-54CDD3723FB9}"/>
            </a:ext>
          </a:extLst>
        </xdr:cNvPr>
        <xdr:cNvSpPr txBox="1"/>
      </xdr:nvSpPr>
      <xdr:spPr>
        <a:xfrm>
          <a:off x="37227" y="2258836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133</xdr:row>
      <xdr:rowOff>43712</xdr:rowOff>
    </xdr:from>
    <xdr:to>
      <xdr:col>0</xdr:col>
      <xdr:colOff>151527</xdr:colOff>
      <xdr:row>133</xdr:row>
      <xdr:rowOff>167537</xdr:rowOff>
    </xdr:to>
    <xdr:sp macro="" textlink="">
      <xdr:nvSpPr>
        <xdr:cNvPr id="123" name="テキスト ボックス 122">
          <a:extLst>
            <a:ext uri="{FF2B5EF4-FFF2-40B4-BE49-F238E27FC236}">
              <a16:creationId xmlns:a16="http://schemas.microsoft.com/office/drawing/2014/main" id="{3E771AE0-10A8-468F-9AC6-EF9AE0A19895}"/>
            </a:ext>
          </a:extLst>
        </xdr:cNvPr>
        <xdr:cNvSpPr txBox="1"/>
      </xdr:nvSpPr>
      <xdr:spPr>
        <a:xfrm>
          <a:off x="37227" y="2281798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136</xdr:row>
      <xdr:rowOff>26873</xdr:rowOff>
    </xdr:from>
    <xdr:to>
      <xdr:col>0</xdr:col>
      <xdr:colOff>151527</xdr:colOff>
      <xdr:row>136</xdr:row>
      <xdr:rowOff>150698</xdr:rowOff>
    </xdr:to>
    <xdr:sp macro="" textlink="">
      <xdr:nvSpPr>
        <xdr:cNvPr id="125" name="テキスト ボックス 124">
          <a:extLst>
            <a:ext uri="{FF2B5EF4-FFF2-40B4-BE49-F238E27FC236}">
              <a16:creationId xmlns:a16="http://schemas.microsoft.com/office/drawing/2014/main" id="{BA565768-9406-4AE2-80FE-1571253B4AE3}"/>
            </a:ext>
          </a:extLst>
        </xdr:cNvPr>
        <xdr:cNvSpPr txBox="1"/>
      </xdr:nvSpPr>
      <xdr:spPr>
        <a:xfrm>
          <a:off x="37227" y="233154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111</xdr:row>
      <xdr:rowOff>135049</xdr:rowOff>
    </xdr:from>
    <xdr:to>
      <xdr:col>6</xdr:col>
      <xdr:colOff>943635</xdr:colOff>
      <xdr:row>113</xdr:row>
      <xdr:rowOff>77676</xdr:rowOff>
    </xdr:to>
    <xdr:sp macro="" textlink="">
      <xdr:nvSpPr>
        <xdr:cNvPr id="126" name="テキスト ボックス 125">
          <a:extLst>
            <a:ext uri="{FF2B5EF4-FFF2-40B4-BE49-F238E27FC236}">
              <a16:creationId xmlns:a16="http://schemas.microsoft.com/office/drawing/2014/main" id="{F0D526F3-E0BC-4ED5-81C9-6F719091C416}"/>
            </a:ext>
          </a:extLst>
        </xdr:cNvPr>
        <xdr:cNvSpPr txBox="1"/>
      </xdr:nvSpPr>
      <xdr:spPr>
        <a:xfrm>
          <a:off x="5528762" y="191374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113</xdr:row>
      <xdr:rowOff>157384</xdr:rowOff>
    </xdr:from>
    <xdr:to>
      <xdr:col>6</xdr:col>
      <xdr:colOff>151527</xdr:colOff>
      <xdr:row>114</xdr:row>
      <xdr:rowOff>109759</xdr:rowOff>
    </xdr:to>
    <xdr:sp macro="" textlink="">
      <xdr:nvSpPr>
        <xdr:cNvPr id="128" name="テキスト ボックス 127">
          <a:extLst>
            <a:ext uri="{FF2B5EF4-FFF2-40B4-BE49-F238E27FC236}">
              <a16:creationId xmlns:a16="http://schemas.microsoft.com/office/drawing/2014/main" id="{18DA0E16-FBB0-4ECE-AA9D-4396F7E86ED1}"/>
            </a:ext>
          </a:extLst>
        </xdr:cNvPr>
        <xdr:cNvSpPr txBox="1"/>
      </xdr:nvSpPr>
      <xdr:spPr>
        <a:xfrm>
          <a:off x="5037852" y="1950265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57753</xdr:rowOff>
    </xdr:from>
    <xdr:to>
      <xdr:col>6</xdr:col>
      <xdr:colOff>151527</xdr:colOff>
      <xdr:row>115</xdr:row>
      <xdr:rowOff>10128</xdr:rowOff>
    </xdr:to>
    <xdr:sp macro="" textlink="">
      <xdr:nvSpPr>
        <xdr:cNvPr id="130" name="テキスト ボックス 129">
          <a:extLst>
            <a:ext uri="{FF2B5EF4-FFF2-40B4-BE49-F238E27FC236}">
              <a16:creationId xmlns:a16="http://schemas.microsoft.com/office/drawing/2014/main" id="{001B6311-5898-4540-86E8-33C2AC7EF24F}"/>
            </a:ext>
          </a:extLst>
        </xdr:cNvPr>
        <xdr:cNvSpPr txBox="1"/>
      </xdr:nvSpPr>
      <xdr:spPr>
        <a:xfrm>
          <a:off x="5037852" y="1957447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129572</xdr:rowOff>
    </xdr:from>
    <xdr:to>
      <xdr:col>6</xdr:col>
      <xdr:colOff>151527</xdr:colOff>
      <xdr:row>115</xdr:row>
      <xdr:rowOff>81947</xdr:rowOff>
    </xdr:to>
    <xdr:sp macro="" textlink="">
      <xdr:nvSpPr>
        <xdr:cNvPr id="132" name="テキスト ボックス 131">
          <a:extLst>
            <a:ext uri="{FF2B5EF4-FFF2-40B4-BE49-F238E27FC236}">
              <a16:creationId xmlns:a16="http://schemas.microsoft.com/office/drawing/2014/main" id="{87C47A93-7A62-4F8A-A609-1EC63B8511F8}"/>
            </a:ext>
          </a:extLst>
        </xdr:cNvPr>
        <xdr:cNvSpPr txBox="1"/>
      </xdr:nvSpPr>
      <xdr:spPr>
        <a:xfrm>
          <a:off x="5037852" y="1964629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115</xdr:row>
      <xdr:rowOff>148414</xdr:rowOff>
    </xdr:from>
    <xdr:to>
      <xdr:col>6</xdr:col>
      <xdr:colOff>151527</xdr:colOff>
      <xdr:row>116</xdr:row>
      <xdr:rowOff>100789</xdr:rowOff>
    </xdr:to>
    <xdr:sp macro="" textlink="">
      <xdr:nvSpPr>
        <xdr:cNvPr id="133" name="テキスト ボックス 132">
          <a:extLst>
            <a:ext uri="{FF2B5EF4-FFF2-40B4-BE49-F238E27FC236}">
              <a16:creationId xmlns:a16="http://schemas.microsoft.com/office/drawing/2014/main" id="{B459A3E5-2A32-4F16-B3AD-5E83008617F4}"/>
            </a:ext>
          </a:extLst>
        </xdr:cNvPr>
        <xdr:cNvSpPr txBox="1"/>
      </xdr:nvSpPr>
      <xdr:spPr>
        <a:xfrm>
          <a:off x="5037852" y="1983658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117</xdr:row>
      <xdr:rowOff>29794</xdr:rowOff>
    </xdr:from>
    <xdr:to>
      <xdr:col>6</xdr:col>
      <xdr:colOff>151527</xdr:colOff>
      <xdr:row>117</xdr:row>
      <xdr:rowOff>153619</xdr:rowOff>
    </xdr:to>
    <xdr:sp macro="" textlink="">
      <xdr:nvSpPr>
        <xdr:cNvPr id="135" name="テキスト ボックス 134">
          <a:extLst>
            <a:ext uri="{FF2B5EF4-FFF2-40B4-BE49-F238E27FC236}">
              <a16:creationId xmlns:a16="http://schemas.microsoft.com/office/drawing/2014/main" id="{2B7EAAB1-8D3D-4AAF-87AA-9F1705E1379B}"/>
            </a:ext>
          </a:extLst>
        </xdr:cNvPr>
        <xdr:cNvSpPr txBox="1"/>
      </xdr:nvSpPr>
      <xdr:spPr>
        <a:xfrm>
          <a:off x="5037852" y="2006086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118</xdr:row>
      <xdr:rowOff>7865</xdr:rowOff>
    </xdr:from>
    <xdr:to>
      <xdr:col>6</xdr:col>
      <xdr:colOff>151527</xdr:colOff>
      <xdr:row>118</xdr:row>
      <xdr:rowOff>131690</xdr:rowOff>
    </xdr:to>
    <xdr:sp macro="" textlink="">
      <xdr:nvSpPr>
        <xdr:cNvPr id="137" name="テキスト ボックス 136">
          <a:extLst>
            <a:ext uri="{FF2B5EF4-FFF2-40B4-BE49-F238E27FC236}">
              <a16:creationId xmlns:a16="http://schemas.microsoft.com/office/drawing/2014/main" id="{30EEC3D8-40C2-44BB-8081-2922BE9DC9B5}"/>
            </a:ext>
          </a:extLst>
        </xdr:cNvPr>
        <xdr:cNvSpPr txBox="1"/>
      </xdr:nvSpPr>
      <xdr:spPr>
        <a:xfrm>
          <a:off x="5037852" y="2021039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119</xdr:row>
      <xdr:rowOff>160376</xdr:rowOff>
    </xdr:from>
    <xdr:to>
      <xdr:col>6</xdr:col>
      <xdr:colOff>151527</xdr:colOff>
      <xdr:row>120</xdr:row>
      <xdr:rowOff>112751</xdr:rowOff>
    </xdr:to>
    <xdr:sp macro="" textlink="">
      <xdr:nvSpPr>
        <xdr:cNvPr id="139" name="テキスト ボックス 138">
          <a:extLst>
            <a:ext uri="{FF2B5EF4-FFF2-40B4-BE49-F238E27FC236}">
              <a16:creationId xmlns:a16="http://schemas.microsoft.com/office/drawing/2014/main" id="{9B15068D-29F8-4D02-B14C-8CC3B4E428D6}"/>
            </a:ext>
          </a:extLst>
        </xdr:cNvPr>
        <xdr:cNvSpPr txBox="1"/>
      </xdr:nvSpPr>
      <xdr:spPr>
        <a:xfrm>
          <a:off x="5037852" y="2053435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6712</xdr:colOff>
      <xdr:row>132</xdr:row>
      <xdr:rowOff>97475</xdr:rowOff>
    </xdr:from>
    <xdr:to>
      <xdr:col>6</xdr:col>
      <xdr:colOff>394447</xdr:colOff>
      <xdr:row>135</xdr:row>
      <xdr:rowOff>81595</xdr:rowOff>
    </xdr:to>
    <xdr:sp macro="" textlink="">
      <xdr:nvSpPr>
        <xdr:cNvPr id="140" name="テキスト ボックス 139">
          <a:extLst>
            <a:ext uri="{FF2B5EF4-FFF2-40B4-BE49-F238E27FC236}">
              <a16:creationId xmlns:a16="http://schemas.microsoft.com/office/drawing/2014/main" id="{31CB86F3-56EC-4827-809E-DEC3ADD8D70F}"/>
            </a:ext>
          </a:extLst>
        </xdr:cNvPr>
        <xdr:cNvSpPr txBox="1"/>
      </xdr:nvSpPr>
      <xdr:spPr>
        <a:xfrm>
          <a:off x="5007337" y="227003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302180</xdr:colOff>
      <xdr:row>130</xdr:row>
      <xdr:rowOff>3811</xdr:rowOff>
    </xdr:from>
    <xdr:to>
      <xdr:col>6</xdr:col>
      <xdr:colOff>309719</xdr:colOff>
      <xdr:row>138</xdr:row>
      <xdr:rowOff>3811</xdr:rowOff>
    </xdr:to>
    <xdr:sp macro="" textlink="">
      <xdr:nvSpPr>
        <xdr:cNvPr id="141" name="正方形/長方形 140">
          <a:extLst>
            <a:ext uri="{FF2B5EF4-FFF2-40B4-BE49-F238E27FC236}">
              <a16:creationId xmlns:a16="http://schemas.microsoft.com/office/drawing/2014/main" id="{4303F2A2-2964-4398-BA14-5389B59ABFAF}"/>
            </a:ext>
          </a:extLst>
        </xdr:cNvPr>
        <xdr:cNvSpPr/>
      </xdr:nvSpPr>
      <xdr:spPr>
        <a:xfrm>
          <a:off x="5302805" y="22263736"/>
          <a:ext cx="7539"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248800</xdr:colOff>
      <xdr:row>129</xdr:row>
      <xdr:rowOff>13336</xdr:rowOff>
    </xdr:from>
    <xdr:to>
      <xdr:col>6</xdr:col>
      <xdr:colOff>363100</xdr:colOff>
      <xdr:row>129</xdr:row>
      <xdr:rowOff>137161</xdr:rowOff>
    </xdr:to>
    <xdr:sp macro="" textlink="">
      <xdr:nvSpPr>
        <xdr:cNvPr id="142" name="テキスト ボックス 141">
          <a:extLst>
            <a:ext uri="{FF2B5EF4-FFF2-40B4-BE49-F238E27FC236}">
              <a16:creationId xmlns:a16="http://schemas.microsoft.com/office/drawing/2014/main" id="{278808A4-F7C7-42BA-8436-98207D66847E}"/>
            </a:ext>
          </a:extLst>
        </xdr:cNvPr>
        <xdr:cNvSpPr txBox="1"/>
      </xdr:nvSpPr>
      <xdr:spPr>
        <a:xfrm>
          <a:off x="524942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311665</xdr:colOff>
      <xdr:row>129</xdr:row>
      <xdr:rowOff>13336</xdr:rowOff>
    </xdr:from>
    <xdr:to>
      <xdr:col>6</xdr:col>
      <xdr:colOff>425965</xdr:colOff>
      <xdr:row>129</xdr:row>
      <xdr:rowOff>137161</xdr:rowOff>
    </xdr:to>
    <xdr:sp macro="" textlink="">
      <xdr:nvSpPr>
        <xdr:cNvPr id="143" name="テキスト ボックス 142">
          <a:extLst>
            <a:ext uri="{FF2B5EF4-FFF2-40B4-BE49-F238E27FC236}">
              <a16:creationId xmlns:a16="http://schemas.microsoft.com/office/drawing/2014/main" id="{2B4D101B-AFD6-4EF0-8F8E-B46EEF71D541}"/>
            </a:ext>
          </a:extLst>
        </xdr:cNvPr>
        <xdr:cNvSpPr txBox="1"/>
      </xdr:nvSpPr>
      <xdr:spPr>
        <a:xfrm>
          <a:off x="531229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372542</xdr:colOff>
      <xdr:row>130</xdr:row>
      <xdr:rowOff>3811</xdr:rowOff>
    </xdr:from>
    <xdr:to>
      <xdr:col>6</xdr:col>
      <xdr:colOff>435366</xdr:colOff>
      <xdr:row>138</xdr:row>
      <xdr:rowOff>3811</xdr:rowOff>
    </xdr:to>
    <xdr:sp macro="" textlink="">
      <xdr:nvSpPr>
        <xdr:cNvPr id="144" name="正方形/長方形 143">
          <a:extLst>
            <a:ext uri="{FF2B5EF4-FFF2-40B4-BE49-F238E27FC236}">
              <a16:creationId xmlns:a16="http://schemas.microsoft.com/office/drawing/2014/main" id="{955553A5-29F6-4F8D-9942-DA343AAC37BA}"/>
            </a:ext>
          </a:extLst>
        </xdr:cNvPr>
        <xdr:cNvSpPr/>
      </xdr:nvSpPr>
      <xdr:spPr>
        <a:xfrm>
          <a:off x="5373167" y="22263736"/>
          <a:ext cx="62824" cy="1371600"/>
        </a:xfrm>
        <a:prstGeom prst="rect">
          <a:avLst/>
        </a:prstGeom>
        <a:blipFill>
          <a:blip xmlns:r="http://schemas.openxmlformats.org/officeDocument/2006/relationships" r:embed="rId2"/>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374530</xdr:colOff>
      <xdr:row>129</xdr:row>
      <xdr:rowOff>13336</xdr:rowOff>
    </xdr:from>
    <xdr:to>
      <xdr:col>6</xdr:col>
      <xdr:colOff>488830</xdr:colOff>
      <xdr:row>129</xdr:row>
      <xdr:rowOff>137161</xdr:rowOff>
    </xdr:to>
    <xdr:sp macro="" textlink="">
      <xdr:nvSpPr>
        <xdr:cNvPr id="145" name="テキスト ボックス 144">
          <a:extLst>
            <a:ext uri="{FF2B5EF4-FFF2-40B4-BE49-F238E27FC236}">
              <a16:creationId xmlns:a16="http://schemas.microsoft.com/office/drawing/2014/main" id="{39D47196-DC4E-4F6E-A837-E0EEEF2FE156}"/>
            </a:ext>
          </a:extLst>
        </xdr:cNvPr>
        <xdr:cNvSpPr txBox="1"/>
      </xdr:nvSpPr>
      <xdr:spPr>
        <a:xfrm>
          <a:off x="537515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437395</xdr:colOff>
      <xdr:row>129</xdr:row>
      <xdr:rowOff>13336</xdr:rowOff>
    </xdr:from>
    <xdr:to>
      <xdr:col>6</xdr:col>
      <xdr:colOff>551695</xdr:colOff>
      <xdr:row>129</xdr:row>
      <xdr:rowOff>137161</xdr:rowOff>
    </xdr:to>
    <xdr:sp macro="" textlink="">
      <xdr:nvSpPr>
        <xdr:cNvPr id="146" name="テキスト ボックス 145">
          <a:extLst>
            <a:ext uri="{FF2B5EF4-FFF2-40B4-BE49-F238E27FC236}">
              <a16:creationId xmlns:a16="http://schemas.microsoft.com/office/drawing/2014/main" id="{E3ABA206-2D3F-4C71-A09F-5312CD66CAA9}"/>
            </a:ext>
          </a:extLst>
        </xdr:cNvPr>
        <xdr:cNvSpPr txBox="1"/>
      </xdr:nvSpPr>
      <xdr:spPr>
        <a:xfrm>
          <a:off x="543802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498189</xdr:colOff>
      <xdr:row>130</xdr:row>
      <xdr:rowOff>3811</xdr:rowOff>
    </xdr:from>
    <xdr:to>
      <xdr:col>6</xdr:col>
      <xdr:colOff>592424</xdr:colOff>
      <xdr:row>138</xdr:row>
      <xdr:rowOff>3811</xdr:rowOff>
    </xdr:to>
    <xdr:sp macro="" textlink="">
      <xdr:nvSpPr>
        <xdr:cNvPr id="147" name="正方形/長方形 146">
          <a:extLst>
            <a:ext uri="{FF2B5EF4-FFF2-40B4-BE49-F238E27FC236}">
              <a16:creationId xmlns:a16="http://schemas.microsoft.com/office/drawing/2014/main" id="{0D9C9927-6C26-4030-8320-77925E12E149}"/>
            </a:ext>
          </a:extLst>
        </xdr:cNvPr>
        <xdr:cNvSpPr/>
      </xdr:nvSpPr>
      <xdr:spPr>
        <a:xfrm>
          <a:off x="5498814" y="22263736"/>
          <a:ext cx="94235" cy="1371600"/>
        </a:xfrm>
        <a:prstGeom prst="rect">
          <a:avLst/>
        </a:prstGeom>
        <a:blipFill>
          <a:blip xmlns:r="http://schemas.openxmlformats.org/officeDocument/2006/relationships" r:embed="rId3"/>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500261</xdr:colOff>
      <xdr:row>129</xdr:row>
      <xdr:rowOff>13336</xdr:rowOff>
    </xdr:from>
    <xdr:to>
      <xdr:col>6</xdr:col>
      <xdr:colOff>614561</xdr:colOff>
      <xdr:row>129</xdr:row>
      <xdr:rowOff>137161</xdr:rowOff>
    </xdr:to>
    <xdr:sp macro="" textlink="">
      <xdr:nvSpPr>
        <xdr:cNvPr id="148" name="テキスト ボックス 147">
          <a:extLst>
            <a:ext uri="{FF2B5EF4-FFF2-40B4-BE49-F238E27FC236}">
              <a16:creationId xmlns:a16="http://schemas.microsoft.com/office/drawing/2014/main" id="{97338376-9D0C-42FC-AE85-686039F92700}"/>
            </a:ext>
          </a:extLst>
        </xdr:cNvPr>
        <xdr:cNvSpPr txBox="1"/>
      </xdr:nvSpPr>
      <xdr:spPr>
        <a:xfrm>
          <a:off x="5500886"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592424</xdr:colOff>
      <xdr:row>130</xdr:row>
      <xdr:rowOff>3811</xdr:rowOff>
    </xdr:from>
    <xdr:to>
      <xdr:col>6</xdr:col>
      <xdr:colOff>906541</xdr:colOff>
      <xdr:row>138</xdr:row>
      <xdr:rowOff>3811</xdr:rowOff>
    </xdr:to>
    <xdr:sp macro="" textlink="">
      <xdr:nvSpPr>
        <xdr:cNvPr id="149" name="正方形/長方形 148">
          <a:extLst>
            <a:ext uri="{FF2B5EF4-FFF2-40B4-BE49-F238E27FC236}">
              <a16:creationId xmlns:a16="http://schemas.microsoft.com/office/drawing/2014/main" id="{34CC5A93-61C7-45A4-AE86-33AAB9EB3163}"/>
            </a:ext>
          </a:extLst>
        </xdr:cNvPr>
        <xdr:cNvSpPr/>
      </xdr:nvSpPr>
      <xdr:spPr>
        <a:xfrm>
          <a:off x="5593049" y="22263736"/>
          <a:ext cx="314117" cy="1371600"/>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692333</xdr:colOff>
      <xdr:row>129</xdr:row>
      <xdr:rowOff>13336</xdr:rowOff>
    </xdr:from>
    <xdr:to>
      <xdr:col>6</xdr:col>
      <xdr:colOff>806633</xdr:colOff>
      <xdr:row>129</xdr:row>
      <xdr:rowOff>137161</xdr:rowOff>
    </xdr:to>
    <xdr:sp macro="" textlink="">
      <xdr:nvSpPr>
        <xdr:cNvPr id="150" name="テキスト ボックス 149">
          <a:extLst>
            <a:ext uri="{FF2B5EF4-FFF2-40B4-BE49-F238E27FC236}">
              <a16:creationId xmlns:a16="http://schemas.microsoft.com/office/drawing/2014/main" id="{FFC5A7F9-4191-4AE9-84F9-9CE12FB1A8F6}"/>
            </a:ext>
          </a:extLst>
        </xdr:cNvPr>
        <xdr:cNvSpPr txBox="1"/>
      </xdr:nvSpPr>
      <xdr:spPr>
        <a:xfrm>
          <a:off x="5692958"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424F29ED-6793-4ADB-9142-57BEF0ABCC3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9F79311B-42C9-447C-80AB-696D6A23C21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81BFAEF8-1124-4F59-AF36-A5467A77D8A3}"/>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12498B2A-BEC3-4ACF-BC16-DC09FEBB24D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7E050D00-5953-4786-B710-FF4A13B7A0C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9FBAFDF0-92C5-4442-9BDB-A789FEF4AED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E7E15247-F5EA-459B-9A8B-E31A0EF1A7A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CC1D2063-8BA7-407F-B237-5E156ACBB3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56858644-AB5B-49C9-8A25-3A05DD8868F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5FA49592-888F-4287-9A2A-63BFEF073F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E59EA35D-F4CC-4D4C-9047-42A389A4673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FCBF0016-8F46-4FEC-8670-CEB89B88BC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074CF1BC-A8DD-4188-B9E0-0B189D52035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CFD4C0CB-7A5E-4331-914C-5548C229317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B80F558B-D9F5-4916-9714-87B2B9ABAC3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B3496500-F732-4549-8909-BA7BA78282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BD04A74D-5C67-48AA-BA71-F33B5CA0AB6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CCCB62CB-0C02-4596-BAB8-E112A932C9D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374AC43D-CDF0-477C-AF70-ACE9688B47B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54EA56B2-DEB3-4EF5-A19C-6275BB67364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A84CF8F8-356A-4CD1-A14E-0508AE6EF64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16D1BB39-6B54-4AE7-8034-D578B888E25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A0873AB2-6583-4EE5-ADC6-1CFA970D17F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5CB8C93A-A495-49DB-B09F-2E49D05A86A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4E754D52-5A2B-491D-B9FC-6E9094ECF58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4038BA41-477E-4A28-85B6-1A90B94B2A7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D57249EB-8A72-4302-A569-A54DFB7C40A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F526D27B-7249-47BF-8EDA-3996FF0EB4A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E96F98B2-F796-4E7B-A405-4C3062F516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89585A6B-46C9-4F99-9576-DF74EE51021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9BCD78FE-3552-45C4-8001-F444FD184DB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4EDF9F36-95B6-45BB-ABA1-D8ED8E3F557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10F081D9-821B-4E2D-991F-70A93D5529C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C8FC462F-AD6F-4B8F-A56A-70B97CCAC6B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367840E7-F3AC-49CF-BC33-C83DBDEF40F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522CE758-16C4-4744-9C4C-F786F2E54DB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CFA96EFF-A758-4880-ACFC-D1363DE33E0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4EACED73-32DC-48EC-8291-9AB592D0E6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EFAAFE9F-0ED0-4DED-9FD8-888DF0020C0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F804009E-F49B-498E-8863-D5F236F1ACA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432D94CA-B328-49C0-A69A-C4C206AFAAE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4A3194B6-FBB4-4058-A95C-11C18FA0D7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41C0BF11-D40D-4347-8A08-DC721C50E63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DCCA3E43-C58E-4CA3-8991-B60A625191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A888D515-6517-41A5-94A4-628EFF46091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2FD7F983-C057-447E-98D2-744B50951B2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E254B5EE-0402-4E33-81FE-785066DB5F7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2C930E53-2FEE-4993-BD2A-568C96ACAD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B7CEBCDC-0C73-41F7-AC03-243EE1B29C7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E4CDBD7F-58F7-4B94-ADE6-8B13A57AE2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A25193FF-8EEE-4273-93BB-E70B4C37641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19F02996-84DD-47F0-B55A-3E8CAB78CE5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26C34756-6B7D-432C-AEF2-35365F56AA0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3E42C36B-13A6-4505-9CE7-D99DB004381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9C1C5FE7-E42D-4B57-8690-D7298168797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3A0EA46F-3BD1-47C0-9ACC-A9EFEE9DE96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05EBA014-1540-4B44-BF3C-09DCC7FA663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8B8F1BEE-F36A-4F95-880D-3970821336C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4D155BA0-DD58-46FB-A1CB-0776A025A24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0AAB6717-03CB-4C78-BA4E-3E3246EB181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EBC27DE4-6B62-4A02-B076-B4B2555688E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6600EE9D-419E-49B7-8895-CE588E2CE07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E11CBD01-5802-4CEE-A2A3-AC87C535050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B67D7C9C-A542-429A-BA44-EDFEC2461C9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847AD826-F34A-4210-B6AD-4C0DA94BC01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AB69CA12-4671-421C-94CB-A388A46FC49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ED645D37-72D6-4A43-859C-34C2D90045C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3DA99EFD-2FFA-49D6-AFB1-E4A6153C5B3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034E376A-4082-4917-8ACB-3C85A2674D6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8445ACE3-3269-47AD-8D93-E55F99A2181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F62C0D78-E413-4D43-A102-6032A0B733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D4C37D0F-F746-4CF2-BC5F-C6F14AABBB1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3CD2B110-7AAE-4D67-8460-8B83A3D23D8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FB79DE82-C9AA-416A-9955-BF4FB05E1C6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8B4D2317-C273-47A6-94DF-B32B67586C9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7ED26C59-655B-43C9-BAA3-4EF8AE1A94A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A88D7E64-829E-4A18-8B40-A609A277388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EAF421C4-266B-4AA9-B340-9696D55C7B1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29031316-811B-42B9-A495-D4798D1AF43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85383570-4102-4A02-8CEE-54128C5AD66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010EDBBA-BC4A-4FF5-954B-28E02CFC197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6F438E7D-CFA6-4DF3-85D8-0DEB05C1F56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4F66B9D0-59F6-4FBC-9AA6-DDBE2156A74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5F15D4C1-59ED-4C3A-AD2C-AC5252DAE27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3EDFB314-F0DF-4F2D-8AEE-00359749E71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DD35148A-0F9A-4AAD-BD2F-07CC827D656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28911167-7548-4BCD-9BF2-6FF7BB23ABC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3D9C822A-4B6F-44E3-994A-7086FB638F6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D68676C4-A1A8-43AD-A7C8-2E49772BA67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BA76752C-5C73-4AE3-8B9B-0640C32E639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6067AFA4-5E05-4637-A006-920D83AFCA2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11956723-D023-4617-A1C2-3E8EE37A576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259435E8-958F-43E8-984D-25075B6218B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7C4A1B79-A2EC-4D64-9366-EADBEE33859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7C823D0D-9A1D-48E2-B11A-17950A9BCD3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ED3BF01D-0114-40C2-9F45-84A4E74A83C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558BCC13-242A-4B1A-9506-53DCB0F4041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CD9665A2-B06B-4C16-B474-DFA0C7FF25B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F648888F-4ADC-4A8B-A04C-BC672E9E93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C8EAEDAB-A040-4936-8134-5A04DEECF6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EC44C242-C31F-4385-A509-A0710A1319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E31276F5-D4C8-47CD-A4FA-A10597B0F9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360FEA1C-2A31-4C79-AC07-20207D1A808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0F6680FF-98D2-4D4E-8FB1-8FBA5A5571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DD4D3D9F-8C27-480D-9480-F7E48D7036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88786100-E1A3-4806-9461-45FEFCB3AA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3F65AB0B-265D-4956-B190-D19B17D1B7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D3934ED3-C513-495B-8D93-9AA563B189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728E5CC2-A0C2-4E61-BF91-9D6C51DDA2F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9FCA7D31-A5D7-4251-96C5-B15D2DAA35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0A8ABFE3-4DDA-4991-B303-89508D3B2D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63EC979C-1419-4CF6-97F2-FB25A746EF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3BE77427-98A3-43BA-98B8-0862250E76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E3B9B215-621A-460D-8EF0-69A44723C4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BB377A6A-226E-4D2F-95B6-4660B265E6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41E75769-7EA2-469F-9D76-DCC94DF430E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5B177941-857E-4C06-AC9B-87017F2720B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39534FC8-1FA5-4B26-8A6F-CF96EAFC474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7BA5662D-BF26-491B-946D-5D4C1EBAA66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44FF0D94-1F0C-4763-BA1E-974CC2F5825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C801A087-CB57-4415-A33E-52CA9317AB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76570570-9054-4586-ABA9-8A481A5CED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0D96A53A-5D66-43F8-9B77-57DA77FD757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B2B71651-4D05-4141-A99A-EC6103A50D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9387A715-B96C-49AA-885B-A7469D47BC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4DAAC140-6DF1-4C7A-ACB9-05704AA266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BFDB3CB9-3578-436A-AA42-E47DFBA48A2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16D20483-FD4E-4640-A650-5EBF32D79A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7D9C9D38-67D7-4782-ACFF-CA0FB5DC67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388BD197-D0D8-4AF6-8320-BF1CC82CBB7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C6229968-BC52-4CAE-B050-A0D093F193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AF26DDBF-722D-4840-BE0C-70813E3D59F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2CECB40C-99A6-48E2-8E3D-C4A81DE53C6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67FE231D-DD29-40A5-A294-3B72FB6FAB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DDDF9707-0C6C-4C1D-833A-EBCEC6B0E9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D4FD606C-6A8E-4926-9D5E-28301A6A61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2568AF9D-80D0-43B2-9887-1D50CDD896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8B601F09-E19E-42CF-B61F-C9C9EDBB7C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E34C8B4F-DB1A-44B5-A55E-F44EA6FA71D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61CF684C-F409-4184-A14F-2B812A4AE8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602B7295-ADF1-48CD-A913-4B24749D36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D0DE8261-4BE1-4531-85F8-987A3497D8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E4073105-8B92-48F5-9031-695E297881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E6EFDFC3-955D-4319-BDBE-0A2DF3764C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4258AF08-C155-4F69-953F-7F0B7C35A6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3507E386-ADC7-4270-A37F-A0BF7F8798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C7AF6339-060C-480A-840C-FAC7887F7D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13817ACB-31CC-487F-A760-EA24507073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EBAD5E30-2295-4402-A8FB-0A85FD50AD3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2898573C-3C1C-4456-B8ED-4EB57C1B07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13B31A29-1EAD-4E43-AF24-5B3EA56059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EC50866C-0711-434A-A14E-B90004E165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055A00B6-0DCC-420D-A98E-BDA4765319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BB0A9502-C478-4066-9839-77380D67A3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2F573D09-6831-4DCB-A554-07B2804515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B77A207D-3695-42E6-A1C2-0C07432BECE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A10E214F-2CBC-417B-B4FA-7A58F7093A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744F9BB3-A351-4A65-B9B2-D455FF4EDD4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18D61365-16B8-4CDE-9026-A2D1DB1801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1E7BCCA2-B5D9-47C3-8320-FE12E458213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637099BB-74F9-4E28-BD43-D5E0946DA4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4CBF093A-99BE-478D-9CEF-128F9D43B0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1CAB191E-BA67-492C-A177-FFF041A892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CB38D944-72EA-4BEC-AB6D-D4270CFBC33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14C81E58-835D-4260-8E81-61E01A769D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960C6C75-602D-4DD1-9E7E-05224DDBDA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C6561B6B-EA60-4241-9E24-BF152C42B5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0E0FD306-80CB-41D4-8742-5539CC6F8A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2E3EC4E7-4AC7-4BCA-B20B-1CB8FEBC1C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DB6374D7-2575-406B-BC00-A6D1367233D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D35416A8-E378-4C13-8C5E-EDE052A1740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01E4BDF7-38B1-4D49-9DF0-C8DE0402B1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1E31D285-C902-4770-95EB-7A6F311F87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CF6D9876-694F-483A-B486-D66E4A2547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56085353-697C-4804-A132-B02A6F2F3C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507A98C5-A9CA-4021-99D8-182F7210FD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AF6B8630-6CDD-4F58-9F43-EE29390C75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78A94B00-972C-486F-A142-B92DDE5FC2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AA6E27A0-BECF-46DC-9112-1E61802C20F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F6D14AC9-1317-4610-B912-ECA758C6D2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9FD0828E-53CC-4115-9888-AA78FAE6A98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818115ED-2D12-4EA7-AEB5-2F1A85691C9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F1B860D4-9A23-4A52-8273-5BCF724282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F0A1D641-C115-4B01-B2E0-0F8A387643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FA44C114-A11A-438B-B8DF-7D836D6ECF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29ED62BC-6534-4F3A-B3CE-D5D998913C9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1F6B574A-5955-4FE0-BB07-22145484D3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288DC99D-238A-4A81-ACBD-F056D88B858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1FE6E463-6752-4DE3-B9D5-CC8D45FAEE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D274E9E0-FD54-4612-9AD1-917A2D57B5E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56075BF6-CF33-42A5-8FCE-D58F76C1C6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D75F09A3-7A4E-4AA9-AF39-CB2B680892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321C5479-535D-4359-AE88-9E074B246D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F3E8C0CA-44E9-43FA-B8FD-A08EBF47DE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553E43AD-19CF-4B7F-8A40-29C04E9099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995348AB-91CF-4E0D-9B78-1557A7F7EB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F98DDC84-A295-428C-8A0C-9AC31E71F4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C6B6A6AA-9202-4DBC-AFDC-845169842F8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94610F98-4665-4B7B-9D04-ACEFDCB003F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C2B238F3-3A5B-42D7-8B1C-456FE11406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3A08F8FE-2EDA-4B24-B01C-B2C135228E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E6E31060-E9B6-4FCC-9005-7275AF640E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CC94AB3A-B0D5-4FBC-9DFA-24C43FB128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03E1EC5F-1D17-439F-88E3-9CCF9FF70AC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D40ABF79-CB6A-41C0-B97D-BC013746A8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70EB1F32-530C-484A-B60A-E7931EBC51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AFEA05CC-053B-4E74-BB28-A462281F40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F909AFD3-5DD5-453D-85CE-75A5012D3F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0A6ED38A-DF2D-4A78-B295-6D6F6F6F15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AC8E4D74-93CA-497D-A2AC-AE8229DD38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57A16139-16A7-414E-984D-EF02E838F0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EB608E41-BB6B-488C-BB6B-CC72345CF3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6CCCC121-4975-48CB-ABEA-974F3C8211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D397CD6A-2905-474B-92CC-8FC50311568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2F9B085C-3261-4411-B2BA-CB7D8415404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482C9683-04EA-4614-A1AE-D4B2F90792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ACCC2987-E5D7-4D3C-8B67-70278DCFF5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3747A6B7-A69E-4D29-A4E0-B9BD692F3F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A7B33666-C927-45D4-9458-4F4DFAEE9B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9CDE3D3E-4606-40A0-87B8-AE634D845B3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ABC51243-13B3-445C-A392-BF9ED632D6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90EB3784-218D-4EC8-8B96-5CD5C17E211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13F384F0-9079-4A95-A07E-568197E0C43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0CEADCC1-0ADF-4B26-A0E2-339F0E0F91D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EF370AE5-3693-40AA-9D82-5952F285D5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6277C127-CBBE-41A9-9F67-C34216A84E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215A8E93-781C-4457-A639-A884BCE6D5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4204DD35-2BF2-417D-9F63-12C0A18290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2D07EB11-A8F9-402C-98E4-76B6DF3C7D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6EF83F4F-62B0-4F12-A39B-E12B1CB7FB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26DDA39A-DA6C-4ED0-82B1-68C709BF94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0CFE7796-A872-4B51-9278-74A33ED67D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CC78C148-953F-4596-B35E-81D1E855D7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0143223D-1341-4E84-872D-DE60B10600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37D6DD93-8C2F-4132-AF01-A0D9862B6CD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258954DD-36B5-44B6-85CE-A85AB1C5D48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6D69D132-A815-4374-8E58-63A7B9FC84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630CED3B-ABB4-4C00-80E7-B6DFB21726A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D2A04A83-19FE-4097-83A9-A12D6FBC25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ADAC21ED-C0D3-4059-BDE8-7D7E02C1A4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490A0A01-80A7-4D06-8256-EBC6729F33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31FC88EC-324A-49D9-9D53-B254071A4B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0372C15A-228A-45E5-8A49-0BA09545CC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758735E6-1239-4A17-9214-3BF05A49CE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A17033C1-F8AA-4E17-98C4-07C29EDFEB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CC2A09A5-EC15-48A4-B047-3C44781C6E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D67B6C6B-225B-43A6-BED0-60CC507CB1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0E9C1264-472D-4912-9DD4-B418FFB877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C5B6C6AE-CFB7-4EB9-A750-14D9D00B0C6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58065EB7-9D01-4325-BB5C-8B91506E51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DC9C03BE-1985-4592-A844-1256E05DD2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A96AFAAC-410D-4D5C-85A4-1E2A162B99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C28DA229-411B-4201-9B48-17A3481F6D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3469287D-2420-4A78-AA40-E485A62548D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E1F6F6B5-247A-4301-9181-123B970770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DE2C07A9-E1C9-4596-BC36-C3297677DF4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4E8CA05C-BCE8-4571-9B00-0A6E08F6FA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4D75354A-0ABE-451C-8F85-1CD1CCDB4A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D24C437E-7CCD-48D7-AE9F-FDF4D37C7E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06A4EBB8-8EE8-4B3B-BCA9-E55C5A7899D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2B35E290-8458-4670-857E-131E5EACE2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17C63732-B07B-4DAF-B4C1-6574E0E016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3F7B86A8-00EE-4F94-9067-8CB5BC2917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BE840F06-F103-43B2-9EEF-3A20566E36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DE3B3B5C-9DF7-4364-8E69-05561EAA5A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83061188-8A8A-4C7B-A1BD-603AB6BB8DE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1E9869C5-F184-4E61-A1BE-D1893F1837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04ED3CD0-412F-4EE6-908E-FC4442881D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2E13FCDD-B442-406E-A8AA-4432F9334F0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7A57395C-C39F-44CB-9535-1F7F0DAAF1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1322E209-BFE5-4BD7-A7C6-2DA268BB41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5A2F541D-E651-4165-9DEC-49168DA26B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59F9865F-18D8-4906-83D1-69A530A881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F7D06F33-6B84-4F8F-B80D-BDBDBB85EB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8E4B9B26-32B1-44C6-B5E4-58126F480BF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F6EB0A18-2E80-4CFA-8810-F21711EF28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D9D1D450-B36D-40FF-BE0E-0E7C61B9D86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785AB996-B671-41F0-839A-67383149A6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A80D2508-3CBF-40D0-A1F3-FF71F64F5B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BDFE5A25-E87F-4CC5-AF08-00EE114CEC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B89C1708-FA6E-47EE-9AAA-C788FA15E7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B7CAB279-7285-4DE1-AEA7-3FAB85942F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AB2744DF-FA2B-404F-B8CD-5ACFF19A10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94FA348A-0391-49F0-A330-1C25EC7B0F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B7CA93E4-2FCE-4D8B-B590-0F6782541FE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AB86D693-C3D4-4797-A94B-DA49A2EB27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88FEB10B-997D-4F87-85A0-A93378EB9F0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53258CC2-FA3E-4D98-8F3C-57FA79FAB1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B9C72F4F-9FC1-4061-B6E8-CD4A1443A5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1E6C4A74-BA0F-44AC-BF72-68A6A142862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2A3D05E8-0535-4329-A889-653A3463113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FC31A87A-11D2-4278-BA0A-18B3A4208715}"/>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74D7AA18-6954-42E2-8D85-493F72C8316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22864572-CA44-48CD-8743-5992F9868BC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9BA11B58-8AAC-4CA6-88B0-7768A85A1C2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C0F61360-58AF-4306-A631-D90A292BDD1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DC61AC1E-5D1A-445C-A3A8-378F05E354E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775A8149-4D56-4EAD-88F1-F30B265B29C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4ABEC2FC-1CEC-46BE-9F72-599F3FE3E17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0D2E7031-E630-4872-9FE8-F164D5092C3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FEF5664F-7494-468E-B615-CD2C49D713C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BBFD7875-AD75-4596-A8B0-FCD8FA1CCAB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AB654CE7-23D7-4B53-9AFB-C0D4CFDB88C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24547273-58B8-4D61-9BA4-FF5BF9F096D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E7CCDEDF-54CE-4BD4-981C-4E6898C86C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758200CA-5EF5-4B1F-B182-86A3E3FAA4A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E127A128-3E77-4D93-BC3B-C3224C598B6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A99B9CC2-E37C-4568-9B6F-FF12340EE0A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6752E4CC-A1C8-48E4-B33B-FFF7623FB65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19C2E40A-18B7-41DA-A594-791AB67DA20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1AA19D47-016C-40B8-9FAA-AA2F5A72AE5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E096AC3B-0D8A-45F5-B653-092A40E4DF9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1DCE2F10-398D-4658-B044-6EA27934D6B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F929C982-9D8B-45E0-9290-9D3B40B3F8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F386A3B6-2783-4EB0-B324-14B66AE4056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4AE8EA46-9622-4391-9369-38379B79DA5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8BAE0EF9-B412-4B20-8087-12B3059D02A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2A521725-C312-4292-9C01-CD51986990C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0ECF78C9-722D-4783-B812-D8A82C19E77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BADF9D9B-D896-492C-8EE6-64CC20D05F7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2FDF6377-F408-4942-BC1F-D1560F67123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9B8ED02F-049D-4DD6-8BDF-5CD91604BAF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25A0DE12-AC5B-43B1-8D0C-5D665559052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4F02D445-7E8A-440C-9DD1-8A974C9922B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290902F0-FCBD-48A3-946C-26E4F97004C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475872D5-5347-4C61-924E-1F969002860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996421F7-0AB6-4F64-817D-090FBDE691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75428A3F-11C4-4C0B-9B9A-53C15EAB9F8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383BB7AD-AC79-4A1F-A81B-5F55D6ED6A6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2256D3B5-83CD-47F7-BCCF-920FE8BDF90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83F8F541-37AC-4275-A32E-71370E43ADA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DA3071D4-4384-45EC-88CA-EC1846FDC7E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2AB2B1AF-9797-4E45-BA26-FAE54E08863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61618481-46A4-4F5B-952F-A9A96A3D39E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CEBF3968-CD1B-414D-9FE3-31A2D3DCFD9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7C9B7285-B3B0-4598-9BE4-2CE94C04330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0297A0F6-F074-4F10-81EA-79D647CF16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C4B5A55C-E762-4D7C-BA13-540AE3B99E5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956E6ABD-1118-4633-B39B-A01E93ECFD1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AC358EA5-1885-4612-8E75-6DBDA13EB3F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678117DC-7CC2-4738-A046-241480C3197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4A999DC4-054D-46F8-96CA-35F08724951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AA64E040-0DB9-4B0A-8AA9-396192D30D9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9128286C-296B-4AC8-8EA3-23FE7DC23E1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59E47FC3-11A3-47C3-A93C-DA5A0D9781D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2094E11F-3E91-49A7-A738-0F38E29BD32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0375A441-9DAE-4B79-834E-76F88832E72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EF4912E8-CF8B-462E-83FF-E4F99CED19E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DB08994F-36EA-4E8A-97BD-C0098043FBE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A3B151F1-E051-45DF-868C-B9E35D36D3B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CC20C515-7E90-4A16-837F-3B2930C9417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9B2C33B4-E981-4196-9887-AD679DF8775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9A14B52C-754A-4968-B760-5478B87FB4C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9911412D-1D1E-4008-871B-7AD8BAAD604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5A09CB24-65F6-4A86-99C1-CC2DEC0CF27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27E62F5E-DED6-4DD9-854D-7E79B2CE8E5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217B9340-CAA9-4383-8DCD-0F14212E8E9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CD66B8B3-7DF9-4A85-94CF-C2FC122C83D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F4E8CBB3-F4A4-4AE2-90AC-B84E4B1C030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679E9B78-F2A4-4619-9DF1-9D1B2A831CC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A0F2A3F8-D858-490B-BC1F-A4D893534AF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6381A906-E061-4431-AC8C-0DE65E743C2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95B96F65-6017-4445-B6C1-412F07C66C6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5F2962C4-8194-4298-8A9D-4278ABC72E1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2D532D5D-F9E3-44EA-A4E2-2BF3EB9E2EB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6F43660E-DBFC-451F-91E9-6E960A8D76A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F546B837-DC96-49A7-899E-F4BFCD281B9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C89416F7-9FC4-47BF-A160-AEC18B1EA31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00F46479-4D2E-4DE1-8921-F6687A98825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A5C61FC1-7145-4CA3-9FC5-68AFABC3093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04994DCF-E970-4B0D-86B5-2BE4DCF34D1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EC801F38-30A4-4BF6-B0DA-309A6F62DE3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766A898C-EEE9-469B-9552-5E7A0B567F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87493520-27FE-42B6-9E70-730424558FA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5D6C3DCC-4705-43E7-B184-BB6DEA51305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956F10CF-E9BB-4D3B-A0C1-8B87592704A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78B57AAE-19D2-422B-8831-8BEEDAA4ADA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78D39728-F83A-4C1F-9C26-9A3B7F09281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CA74B717-2307-4B35-BB14-2DCA8EDE19F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8390CF05-6FE5-4859-A461-0A58820C12A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43DD2130-F7B1-4CC9-B009-49086EDAF3D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242C2083-DE03-4573-9C1F-06D1C36AB29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50D46698-C692-4431-B55B-31D7C6FAE3F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32D85031-5889-49E6-9DA4-14A36424086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8DE40D85-C9EB-4241-9FC8-348D3055888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23EC33E2-47AE-4646-8ABA-18C930149B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23BB8024-1C7D-4604-A656-B2B36DB8C9C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838A51DC-4A88-440F-ACF1-719E4915804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796C6D4A-11F2-40EB-AF9D-B711FC5E95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746CC20D-7FC0-4E38-A1E9-394C4FC360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E992A130-088D-4E89-8949-A0B87069FD9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6A1D51F6-2242-40A0-BF42-A6D176578E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4F47A8D2-AF62-46F6-B0E9-4A888D37107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857EFFAE-C0CA-4CAE-BF4D-A59CDD9E16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FEC58CD3-D2DE-4021-A5F1-1683E8DD72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C14CA7EB-E7F3-4EBB-8EFD-7A8403F524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D1900312-BD80-4EF5-A9EC-B8B5245A711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1F5922C2-BDCA-4469-A303-8DD2970751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54CB6E2B-4B18-4CBD-98AE-8E0FB2EE59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5E8AE185-4989-44DF-A7E5-93BDDFB2E78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4B1C84BA-819B-4738-8872-EFBFE0C49A7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B78D6E24-D727-4C4E-85BA-834280B9DE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A42E1D10-357E-4789-BCE1-5824480FBB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C2B52200-D9BB-41F7-BF3D-99E7025E777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8286A533-1899-4B2F-B1A6-D98DEE51CD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2B562B03-6B6A-4CB6-B441-770A24362B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D0ECAD5F-58F0-4C2C-ABF9-68C144AC54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ACE419E6-D3EE-4A95-B8B3-12CB861713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0825C679-EDDE-4C04-9D8A-75656F9BAB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914AE85D-E1D1-44D7-8545-896EAFD67F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EA9F82AA-48C8-4376-A34B-6768B52E1A8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42AD8262-6998-4727-B4D1-E7A1233491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2918137E-EA1F-4906-9D1C-DEE62C0270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D2646116-7EE5-4AFC-A5B4-E2D471345C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8EBB1A30-FA23-4880-AD88-1CBB25786C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74906547-538C-4630-8B65-89630F9AF2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0F7D3A88-9FBA-4FA1-9A1E-3E7F097E39F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AED9D9B8-7D88-47CC-9653-59A28D9016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17BE454D-438F-44B6-9F50-427B9F8983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51E6BA46-F523-4F71-BC53-E51C452699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5D2EF6BD-AB80-4562-A215-79EEC19FCBC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DE4DB3BC-0777-45E6-A2C1-A844378EC00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9B7046AD-2171-4406-8998-595032C6FE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FCCACFF8-BFA4-479A-9114-8269B3CE34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FD9F266D-5FA6-4B5A-8308-F367A945C4C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F5E01987-AB9D-4114-A5D6-8871957BB9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C86C764F-D16A-41FA-98E1-D668B43478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FB4B9FA0-9B63-4A36-AA2E-F9D3D6D34DC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685280AC-F041-4058-AD6D-DDFB2ABB3E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C497D741-D85B-436E-95A0-51D8513C41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90E0901C-604B-483E-B235-848966DC59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7402CD8C-C7F9-4F1E-80D7-B41B2C851F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FEC6A2F3-E1B9-456F-8565-99FA444B3A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6B4898BC-A023-403D-9754-CFEDF0781F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23A88412-3689-4D85-90C6-85BF06D139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34358F61-73D8-4533-9461-B7C98B5599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57526EEA-D93B-4F40-942B-AED04F5741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BE5D2924-2F9A-40DA-8F95-E3C65FB434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242C80A1-888B-44B4-8049-0ADE31A1C0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0C4D1A4B-5840-4A92-BD39-850A7FC7A6B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6A1F9D30-B35F-42D8-8DE3-806F4DBB4A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7ECCBF69-0576-4663-B2B9-F7CEC56522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58DDF71F-2B68-4413-B92C-AA6A0B1D22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4DA5ACCD-D1AD-4D7F-B66E-355DAF2CD10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5ECC4B44-401D-4B11-A4B3-A3CCDC27DA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CC271575-E047-4C2D-8DA9-83DBAD782C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30F7DB8B-0593-45AF-B1FE-DBFA3B70A68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EFC8DD67-FADC-4546-8511-CE70E5EC82C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06210A27-1096-41DA-A68F-5B19094BF9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74955722-737D-42C7-9B9D-A93EFBBA8CC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B690413F-A574-4C26-B021-FE86D44806D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7C78831B-CF98-4DF0-A50A-643C9C5EC56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07D2BAD4-652F-418F-9822-AA4A982760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2F3269C6-5ECE-4BDE-8922-3EC93187E3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B6949962-6B44-47A8-A0D1-8987C820159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382E3615-AF65-47B3-97BD-564037F5E3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3B65CC2D-8ED8-47DC-B798-B148C6282E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187A9091-B06F-4229-86EA-5029CAF02D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54D9B67A-F822-434C-84B2-1585B1E19A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36650D10-881D-43FB-83A8-E238BA8B08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0DC3FA2B-AE92-43EC-B044-9E92DD7491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110FC675-0DC8-4701-9B1B-3AB5214F83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C612594B-5189-4CEF-912B-C58996C8F0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4227D618-4803-4154-AFCC-BCA1D89CFB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3AC774F2-D2EA-4489-B9DE-27B052C387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D2A282B8-C853-43C5-BC76-0A09A35495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E38C7AB5-C858-423D-AEA1-8940D848D2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DD58BA39-74B6-4469-8BC0-1C3B6490B8F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4876609F-802E-441A-B9EE-AAC1F10E80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E7001441-9B65-41AF-8238-FDB8DEE18B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423ACD38-0BA3-46D7-8FE7-E4C3B4F805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BC4DBA06-BBA5-41BB-B407-5BABBF98EF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6F6EEDC5-4B80-4EBA-BE84-BE03B35641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DBF18635-0036-4A12-9E0E-68952EFF3C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BB946F43-1062-47EC-905B-468BC9A4BF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E06038C6-82DD-4C3F-BD67-C9826BFD01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4921BCD1-9650-4793-82C7-EFB77A9B9E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8C30CE6F-163E-44D3-BF7A-C53E99492FB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F2B6B4A5-320D-4271-9074-577D1862712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4797AA70-7FA8-4674-9E2D-3F774AAC28F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ACFB1B9C-F1D3-4030-921B-C7B40699B9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C8CADC6C-B78C-47CA-A620-7DF9E37D9F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B064DD10-5A7A-4560-B66D-4744F4075C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7C628A80-6B06-4862-9DDD-DD1E9629EA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0073919F-A04F-4A8B-A38E-049BB1090C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05F8FFC4-1F8B-4644-B268-BC7DA2B73C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67DF5647-D419-4312-95D9-0551B59C19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C609FF80-105D-4A4A-A69C-A14600D651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0E01B503-C557-4F98-AC47-AD6D977210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0E5CB430-926C-4F57-A9EE-7FF4DB981E6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60E8B774-6896-483A-B162-2F8712776C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9242E0F1-6C2C-41AB-85B2-96118D3693D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FD6FD435-2623-46B1-88B1-0FF3414B16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C11C30BA-74A4-495C-8AD3-1CD05978D7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0A7E1C59-9DB5-40A5-819B-5F721CD07D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BBD213BF-D7AC-4FBA-8799-2C2A05431E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75534F5F-28FB-43F3-89A1-16D704EA06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82A23CCB-D6A8-422E-99B3-1B6E6E8C76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137FEC60-BC20-4267-99EA-603D860CAB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7B2DD8CA-D0A2-4F31-80AD-9D56486171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55CBDFF7-B8B4-4FAB-9B8C-2B243D8437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83C3808D-F93B-439D-957C-E544D9F33C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56560DAB-D032-456B-BD9B-5AE671BF9E1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8ABCE2AB-4FB4-423E-A6A1-A82D219E70C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9A59C35C-8C33-4380-AE7E-BFBBC329D45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9261DBB1-7DC5-48C8-84C7-5DC4F05B0F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45423D50-2573-4BB6-BA2B-716F8100BA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28807EE4-D3B9-46F6-B6C2-831592BDC4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7A4FB432-91E8-4E97-B198-0AF4A353F2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2FB1D5A3-3BDB-4066-8487-9308A06252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FC93BB15-0218-4F06-8628-D090EB2BF5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3F273EA5-1AB9-4E81-96A9-4B1B0B9D24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B9B2B57D-C16D-42BF-8169-56A5D94D69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54644DF6-33C1-4CF3-AE56-6898F8E2DA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EA3EEE85-E04B-40C7-B8B2-D726AAADDE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04C11513-C82F-417A-BAA6-0EAEFD83D7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19F032BB-D377-447C-898A-421B96B9B3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E832A4D1-E03D-4F0D-9B72-A61F527C05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FC648532-B9AA-4CA2-89EE-05BC49E37C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890096F0-5065-45F1-80D1-CA9B2E370D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2A29A402-A647-4131-8BBC-2CCB5B3E27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C7ED0F3B-9906-4384-93FC-134C4512FFB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21912C18-31BA-455E-9DCD-3A00FBF4274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3CC6B488-264F-4EF0-B9D2-E45EE145CF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D8E8A0C7-53BE-4DF5-B1FA-FA40B67F6B7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F55542BA-5DCC-407E-89BA-62430D273E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45FB64E4-E330-4583-A999-8821D0C5F0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4B6F96F2-676C-4127-81B0-12EFC9EA2D2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8AFB467E-A6AF-4132-97E1-4B6AFE9C67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18C77E6B-8D16-4A7A-945F-6CD0CA327F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0AF1D646-4935-4782-A9C7-BD66FC10A1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D5B9CA44-773A-4E9B-8C9A-0764BDD4BCB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7D8774F8-5E70-453E-8419-5C4F16DDF88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334AA710-CC7D-4256-AC6B-3A9C6CC3DB2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57AFAC26-F5B9-4F30-B4BB-A55D56FA27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397EA4C7-DD48-441F-8332-88B3557E35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CCC8957C-0E61-4F83-B907-84E11B10DA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37499FBA-B455-4211-B134-6E2CCE9C4C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66D2FA60-5B97-4927-910C-86D36A80E63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D2C9E612-2AC8-44CF-9044-57F729357E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96775D65-A4E8-4542-A9EC-847EFA6051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6913BCF5-9DC1-4669-8BB0-758A862381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BCA9F468-ED38-46AF-9868-A8BCD52868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CD55967C-3B35-4286-961A-D6550556F1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FF7B69A3-A671-4BDD-9D49-ED20752A61D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1A24FBDE-775E-4E10-8CF3-F49888A5EB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01E18B5A-1C0D-4444-BB6F-3B29C6F1F60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D6C4C703-AF81-464F-B2EB-D15FD2D5176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CB980B65-E323-4C1F-A48A-D6369D5D71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72BDC3B2-1A70-48FE-81DA-8DE423375A8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D2270BA9-7F4C-41F0-B4CC-B563B8248BB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F05B1D0B-0652-45B8-B69E-7A2ADAC2A0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BF606A2F-DDCE-4070-A229-D15ACEC2AE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F597994C-2B28-486C-91CB-C51FFBD80A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98063C36-E13E-4483-AE73-ED31A52649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2CA398D2-7E5B-445C-8341-3B5D16D9F4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BF6A3E3F-5BB9-4F79-9A80-3F73BE13E1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1777BDB8-D64C-4D00-9340-E62930F1684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49A97644-5263-4428-893C-E9BAADD35F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6A5F4D12-A221-4C47-956B-040EB6811EF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F18A5C55-1C00-4FAF-A87A-CE2049CB2E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A9572B09-5E1C-4AF5-BA90-ECDA92317D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134CB5E1-AC1A-482B-8389-D23905B330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59C79857-F1B1-464F-8281-859F76527A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5E1542B3-3977-4428-9968-9BB1624132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C7A86820-5165-40E0-8DE4-EF1F769A4CE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DDDF3A44-6524-4CA7-92C9-F563C62F63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998C8BF3-B21B-4D44-876A-987C6FA122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7AAF52A5-12DE-444A-B0CC-5DC7BBEC80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8357ECF9-E26E-49D5-A319-29A241FBC8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CCD5EA4A-1B7E-4465-BD65-02079537789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8FC82808-48D3-45DE-9CC3-E843814CBD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84F23EB9-E0FE-4F4B-9320-C3F9D3C75D0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3F51D476-3B73-43AA-B996-387D75A862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990D301F-05AF-4C05-A8A8-CD5BBC634D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79EF17F0-09E6-4C14-ABF2-693512066B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B8DE3548-4F62-4A65-803D-C5C1BBF322B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03B52965-234F-4DD7-B88E-3D41F2FD1C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060B6245-63A2-4EE7-A3A0-2B333C2EC83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92DC53AB-857B-4D8B-8660-B1F0686276B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0B7BCA25-912F-4292-AC4D-61851F01BD24}"/>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82DF249F-3A9C-4BFB-A84B-DF3AB8C2AF3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71B21C1B-AE07-45E2-9361-21DAE11E48C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99F4CB73-9FA7-4751-8BD3-08FC687E863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EE7488E2-C330-4FE0-B51E-AE72FAF1ECF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2B8EB2C9-D172-4F8F-882C-A04AC9FCA3D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4811A1E3-DD94-4ECB-8A4F-1E34E1F8644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929991FA-9DC9-4BB3-93C2-BC99684E190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5EFE614E-5237-4AFD-9770-CF23A5C4014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B1FC563D-2A6F-464D-9E3E-EE0AE85FB80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71FEED07-612A-44EA-AF64-FE2C13A40C9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AE3622C2-EF68-4B45-BDA0-46514B7BB49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E9763D6A-A35C-48B3-971F-3D5BA061A7F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BC02DCCC-2A44-47AD-A5DB-2E8BE4D484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D4653D65-5B3B-489E-90A1-2C29508FDA7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CB4B4656-DCFB-4CD8-9B4C-ED8D6FD9300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56BBD7A8-69B6-462A-8515-52E8D332CA3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0DC345DC-E3C8-4AB0-B681-B2A107100B5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6B9D4E04-B2F3-42BE-BEE6-73AD47A2887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C426A523-F3F9-4FD1-89C2-DAD31CD2F87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64F94DB6-39F9-4852-8516-A01AD34E74A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B39D4089-BECC-4938-994E-1203C1F03E9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A30DA139-84F8-44D5-A474-8CCE448FF0B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347A01BE-6A05-47D5-98A2-F88F718F926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76AC3BE4-9372-4131-8C61-9E9F7582849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749EA9C2-DC74-40FA-8DB7-38CD355A295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0451885B-9A41-4A24-BE2A-F2E6DFA945A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73C40768-025A-4A91-9A62-7F5F39355E5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5B4C5E81-A5F2-4444-BF23-14D38903BD0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B8AF0991-28A3-4663-B6BA-D20401076D8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5E14A8A0-B706-4BFF-8727-DAD2854B34E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A9FA34FD-2CC6-45EF-AC01-B27736AB145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4DE87DD8-E020-44F8-82DF-2AD959D22B1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A11060F1-BD99-456F-AAD7-D11CD2C80B9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EF2F7A6E-3D08-4ECE-9715-9BA50EC513E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58B33ADE-F68C-4735-9584-1DCB0A5F8C3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53DA89D8-AE09-4AB7-8A5A-5DE9C93406B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3A18210A-4AEC-4883-8602-5DCC1CD1CA2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4A2E4B75-EDDC-4A01-9147-3C826C167E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598A4A0A-888F-4AB5-A974-1E75A5FD852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CF17CFBA-12EF-44E8-B57A-E16CEC7ED5C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A556A897-B1D2-42C7-BFBB-3703C9F2AB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C1ACB6E9-689F-4B90-B1C7-1B01F94498F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87503AB0-651C-48CF-A4FC-B77A5F6CA66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4DB3C260-6D1B-4E69-A7E9-12101D185C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862EDF7D-CBFF-4544-948C-62B481179BC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B0C111EE-1B18-45E3-8F73-7D71F342391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ECCCB0BF-8A07-4A11-B956-1F0B9576F5A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D6842AC9-DBE5-461C-8A9D-FF93E9C4A9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EF480B03-6122-4378-95AE-6BE27C2A0D3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E292F37E-9280-4D4D-A834-CB47FFFF284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D0A818F2-6F1F-4F9F-8041-38197241DF9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37221D39-ADDF-479E-AC72-FBF929C6039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B3748441-BDFF-430B-BF8B-3C0A9D44E4F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2806DE57-3E6B-4547-B50D-7D64C855BDC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6F3A6A40-AB85-4700-BDFA-8F2A9BFD446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E5B24FA5-8D79-48D0-A57C-7F74663667A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CA156C6A-5981-4CA4-B10F-2DF58B09BE5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9B475DDD-AA8C-4F49-8ADB-9CCA75D81A4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C5FBCD70-9B0C-4B1B-9784-58DF5B1F8F7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1CD7E137-6174-464C-9ABB-320E4177E96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0086F03B-A5F2-4D04-9AB0-4B7E0F4FC1A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39A3B629-CDA0-4A4A-8AC8-3EC94D7B442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CC2D9EE3-6B2C-4B5B-9A25-9062FD07217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5C974500-B06D-4C75-8D99-D14FCF0F243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38BF8513-42C6-47BB-AA87-4CF0577BE65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97595FD1-8A20-4135-9B8D-FEE479B76F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A710CB60-3A6D-4C4F-865A-EB2D177B27E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C9ED8DAF-AE10-42D3-B7B6-DE6BA3A90D2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C1FFAA85-D46D-4EE0-8FA2-2C0E227E899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D7CCDCA8-8DD8-402F-A761-FB01A1E5B72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1ED263DF-CA06-4989-9A60-0164919426E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839DC168-9770-4642-9965-76C1A89D657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BDBC21E9-A8DA-4E88-BE60-11BD533096C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E32C4DF9-04A8-4384-9DE0-3A4E2AABF7B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87D3210C-3AE5-4F78-AC0F-6701700EF25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FA67DD9F-019E-4427-805A-9CF4FD812A9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ECCDE2F4-2238-4973-AAA5-889AE13A8F1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5A9D2DE9-7D98-44C5-AF99-2ABFFF2C053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5ED18917-010C-497A-8B41-3F70ECC44EE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3F77E6F6-6519-4EF5-8AB2-F556695E13D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C9BF7C4D-64ED-40A3-82D5-CFF7DB64C02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6FDEFC78-A732-42BF-A152-856B5A0F2E3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717854C5-497A-4BCD-A908-22955A26E7E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F002ADCD-930C-4499-9A52-5BFA3976777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005246DE-1D3A-41C4-B7AA-B9AC016C74A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B74AEAFD-2801-4D40-ABEC-A463030CC20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3EDB3969-5D6C-4486-96E0-ABB22CA5F54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AC04047F-8782-4D4F-B449-4EEBD4442EF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56663ED4-C668-41E8-80F4-BCE9439B525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9C5C77FB-FF46-48A6-8927-AFF60882E1A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AEC6F835-F42B-4379-80CE-1DB76D0C1B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FDB93807-3C02-44C9-BAF2-441366C279C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4AA6AF5D-D0C6-4547-9A4A-1BC74B991F1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42F3FE44-D329-46DA-B968-446454F9481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BCE95A78-C56D-4C42-B15F-24A3D9A3ED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0E1FD973-BE9D-40EA-88EC-30D4ACACC64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47DD358E-674D-4E14-9139-0EA1AE0B8B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323BE526-D3A3-4007-9648-605E4A1E59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DE115895-B760-4325-9E8F-2233F3E165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90A8C9B8-2D91-4C6B-AB0E-BB7E7F87826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3E0AAF42-3E58-47C8-8F1A-952D60B787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00074943-5B1F-44AB-8DD6-A7623589847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43BFA1DF-DFAE-4FD3-B03B-AC9352F57D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D19ACA2C-7ECF-470E-B2F2-8EDE7DFC07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C7B7AC0B-DD81-427D-9E84-1F18F41B4A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ABA11B98-2666-4BAC-BD1C-929552276A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419A481B-B284-4911-BB2B-EABB50640D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DAD5A7AE-3804-44C9-936A-A53E926320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803D6557-B64E-4C08-91A6-169435C84C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F82D6AAC-3807-4196-9DE7-31D4AE150A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A7C5DC46-0750-4F0D-ADA7-AA6B3EB891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B97D651F-79B2-4384-991F-87821FB0959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072B72AC-B51B-496F-9A65-DC6960FB02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4AF4F12E-1271-4C2E-9A99-EAE82060426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5CAD5F96-A9AB-47BC-8F1E-8436C12DEF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B3097139-6557-4C8C-A6FF-0FF92CB6AFC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C284D864-1C15-4690-9F5C-AD2B01C2D6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E068F07C-14BB-4CD2-BF90-850A70629A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74B0420C-FEB7-406D-B05F-1754C94E7D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58809F15-E06A-467A-8314-D503BDC2DE1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3F234F47-1AFA-46B0-B8CC-1C99711D6B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46D220AF-72BC-445F-920B-19988F59DB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2BA251C5-4D80-45CE-92B2-DC13D9D7FF5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57AB45E9-62F5-4064-BE13-27DA43C8EC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5D852766-B060-4C80-90D0-9EC8F80B2A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FB4BA1EC-5B6C-4B59-AAE2-CAD1F7EB287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8D643400-83C4-49E5-945D-C640998E2B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C3E55F8D-CF6A-4500-8795-BA2D97302C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A954C334-49FA-4470-9A7B-20B8990C01F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3C8D5584-2D1A-485B-9EED-37CECFCD8F4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ED26B247-5777-458D-825C-18FFBACA4B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F9E7D7F0-F140-4ED9-B2A0-05367D1E096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B8F8EB85-8E88-483C-B4E7-08A95335045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9A35967B-01E9-4108-98AE-698AECB71B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8CBC8768-D609-4539-9255-10D6069017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063A7B0F-1086-4C08-B477-68C2AD75DA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FECB792F-463B-432A-8045-FAF7EC2970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AA8C5A3D-C5BE-446A-A61E-FD4DB69803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D58CE332-02F5-4997-8B45-15BDABFCEF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B1E3410E-542E-4CD4-BEC6-2D5242300A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EA7A40A0-9095-4546-9EE4-C3C2DA5F5A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F9610263-A59A-4A6A-9856-80AF7A75535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16CC1B64-6A23-4A3E-9142-C00CD5A55D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8648C915-2E9C-4395-BB4A-D9DD2203F8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EEB5BF43-8FDF-48D0-8CF6-C48C0BA504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B741BEDA-102C-4A23-A68D-D392E82EF8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1122FD4D-16EA-46B4-8B6C-AD8DB0F142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B0AB7B07-06ED-40A5-BE4E-A8872DC651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29A37459-98E4-411D-9347-56A5DEEB7E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7D029EBB-FBFD-452C-BEC9-10470EC59FC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10427844-D013-4B82-BFA0-58F55E6FD3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DB8CB6A9-152B-4270-9C78-76E20EBEC7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F811996B-E766-4533-A6DE-EE69E39711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91D770D7-470C-4244-9702-3A5046013F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90630095-37FB-4A44-9D80-F1EECAA214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D775D999-8635-45FE-9A71-1E027B6832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2F43AC90-3179-400F-ADB0-BAC85FA413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3FA1E761-EEC6-49EF-BE2E-709DB083DD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73B9E0A4-E96A-4132-814D-9DFA9459CD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CB95E191-23CB-4F45-BE67-742112F66FB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5C73DC58-223F-42E7-B666-8C62319D2A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8CC704B5-28E1-468E-8012-F314A76C11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5E7CD493-153F-492D-84C4-F1F56E40366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97977DE0-2623-4FFF-B17E-8D3D9A0E2C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197F613B-DDCA-4B13-834C-C0C9705A3B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0B7DC532-1ED6-4854-8DE2-9DADDCA3E99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127FEDB2-96CF-4EB1-81E8-80FE33E2CA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A86FBE9C-C127-4180-93E8-8C2D21E9D6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885DE229-AA03-4C48-A88D-1E3599BF658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DB48CD65-B09D-4514-8D68-054800CCE6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C9CE440C-1406-4E32-A199-E74FA0C134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DFF4CD79-44BA-40DE-B6A7-D6F27CC32E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EF9DE21C-5EF5-41FF-8419-F08FB5EF14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FCE34DDD-A064-4447-80FB-69E4A797E0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1C6840EA-CEE9-4914-B96C-7321F4B344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F826A462-BB13-48EE-914B-A41D4FAA69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F0C96EE2-EDD8-4B33-B755-32E4041D4BE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202AAAEB-0527-4FEA-91F6-72D493B0A6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9EF2AD8F-4C8C-43D2-BA1D-1CBC1C82F6D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FD574BB2-E7FD-4E9A-A3A1-9E92838642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4359A7EA-75F0-4445-9308-8E1E221FEC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42F9768F-3AE8-49E0-940A-9CBEB4B17D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DF2E3488-1FD9-4690-B1C9-70598A6BBD2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FF89B9CF-978A-4382-94D8-2E74594340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9B996B32-7C4C-4197-83AD-04F3E52C66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8B8BA555-88B2-4F96-AAD5-D4AF6062E39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B581F7F0-FD2D-4C06-B037-77B0FAAE4E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56CB92FA-BE3C-4ACF-A387-4B30DC7012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43402CD7-6367-4E3D-B8DF-4BB457B7017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9837D8B0-6D87-42F4-BACA-B27C17EF049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EDE44A2E-95FE-4C7D-A935-1C7017B6FE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48438C35-7A59-4FF7-A093-9D545E956D6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1952609E-3C42-4F1F-B815-B40C46D2AD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ED4DB9B3-B348-4EAE-BEB4-6A66C723EF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474674B1-CA2B-4C51-9139-6668BD1938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497BD761-C105-4BE8-AFAC-BFCE502D0EB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121F4C54-42B8-42EB-A00E-214D9D9E11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6199735C-F866-41F1-A40C-9FB9A9A44E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E526EC57-B6FB-40C6-B980-4DACB49C97C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38EBE358-6553-4EF5-87E1-FF3B48E6AA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492B7556-CB6F-449F-8C90-A7D8AB264C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FF8CBA2C-1426-4011-B34E-4BA2E247E9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D3B83882-363D-4B3C-A274-AE1926FAB57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B0126B86-678C-47F3-A484-AAA7C01653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2FCA15C6-C92A-49EC-A7B6-6476CDAC9FD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1F57E472-F340-438C-A242-B8304FD73E9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9BEAEA8D-FE4D-4D09-A35A-9A4F063300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1A537464-6B05-47F0-8893-700D9F0575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8262BC77-1E94-4C02-A680-432B1874029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B027CA58-9864-4857-A0D1-7D1E07B018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685B8A7E-B176-4041-9AC6-50E081BF59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18FEA585-8FC8-46F4-B055-3A659FFEDB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3E23D96E-370D-4448-9837-0494C5D051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4DCB10AC-8053-4090-A110-26C105D9BE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248D0651-6DEE-426A-9EFE-7C7122DF947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3B860234-39FC-49DE-AA75-D09741B96E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E7477EE8-E24F-4E70-BA7B-66633FCDE9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A49A3AF6-DD72-405A-A671-85B2DB9A819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67FBD6C0-180A-4B0B-BB8F-78161102147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015B76AF-335C-40A9-9C2E-5BBB2B0CD9C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86EEE0F6-CEDC-4542-84AA-11033FAC685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70F25134-9F60-47A5-8F0B-BD35BC7B84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C2328A8D-7F84-4A50-BC0A-442E5191F3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10EA1676-DB5E-4846-87B4-D771AA3097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06A4E560-9832-4199-889E-DC68A97D66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3201F2AC-92FB-4FDB-9162-98556DA5346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93C301AB-691E-49F9-9444-E71B2BB67B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C52695BC-278F-4F23-ABC1-DCDEAE44DF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C41791EC-9930-4D03-828A-51C5C208592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736D62B9-E8E7-40B0-84B2-343C567F81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13F340FF-502C-46C4-BBA8-41237D2211D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A116E713-0CF3-427C-BA26-8C29BE34A3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9C57A632-C335-42B9-B3B7-306AEDE54AA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0EEE6F8C-071F-468B-AB17-1F550F9BE4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BB8AAA27-E771-4B13-872B-C21525B8A3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CF5B49C6-D5F6-40DA-9FB1-04C13541DE6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D4EF4FD9-C098-49EE-834A-577C9F81F1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6D694535-46A3-43E2-A31B-046D6FC2B07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D241213B-1470-4FE5-9B9C-03F1AD06A0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723F2204-946B-4087-80F2-1D5BF2889C3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16A06B6E-D23B-4013-8815-82E41D515F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92968CB5-D8CD-4139-8B65-A3C825C108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A09409CC-26F7-4E43-98B7-F8BB4CD34F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21E31795-6905-4EB4-9C90-1F216B4193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C9E08F38-C7C3-4686-AC1B-457A86A9E4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25D6FE23-DA5B-43AC-8DF9-62D9CA48B3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C84FC117-8FF6-46A7-9D28-C21D24032E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68D8F27B-0D6C-4964-8EE9-1820A3B75B7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CA0364A4-5060-40EF-8DFD-556D7309A7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055B88B8-D49C-4CFC-BEB7-E95E687387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E2BD17AE-53E5-4F72-A2AB-782E9071DC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2B47B4B4-1567-4061-B7BB-CCDF536FBF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07DD465E-5022-4907-A7AC-05AAA0A450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537A7C96-58C4-4765-A9D0-EDA662C3988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22498808-6832-47A7-B5BC-77BED9F8E9F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BC91D702-5ED3-42E7-88F6-B815355B60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2F5DD8AC-7C78-4897-877E-E10517FEEC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32B2EBB0-AC4E-4BF1-A9DD-D606D65C6D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93B5DFE8-C219-48C1-BE72-722B2CB5A6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B7249356-5625-4CB9-868A-8CA5D137BF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8DF1BBDC-C9E5-42B5-B513-824B152CDA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89462A7E-F15E-4AA1-9DD3-BB34225831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753069EB-B6CB-4FF3-8D3A-42457E30DB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4870E9FB-D488-4282-9DBD-7EC7F73667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914D3920-C584-43F5-835C-50EA888C39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9A99D434-E4C6-4F18-BFA7-8F048C2020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A48923AF-DD39-4442-B997-9733946EDB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61B8B4EE-2648-4A81-9386-20230141CC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0DE18AF8-674A-46BC-AC8D-A51A9BEE7A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C562C663-A6FA-4734-8D68-27D5308FD8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219F8905-2F81-4B12-BA1D-D266B2C2C6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09F6B74F-C3A5-4181-BD44-DA4BEEB035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E1A441B6-A180-4AAD-87E6-1BE2BEB89C1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86844D41-5422-463E-A0A1-E2085B4310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473344F9-236E-45B0-973C-0FDA0CE9B2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410D3B33-8884-489E-A438-9CEE07B5A8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096271F6-B48C-43FB-9CD5-020E48AF3D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D3ED7F7B-AA18-4DB1-A005-B5FB52F3CC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E98FE8C5-25C8-4B15-915A-B6A16C9A6A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D1890D04-0E74-4DBA-8579-9B7A073357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A02C0D8A-F07F-4BB7-BBFD-86751432D64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A1548291-B901-4C54-B070-38B14BA261D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F1357BA4-E253-4C30-927A-389203F74B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A2ACFA68-0349-44CF-A6E6-02AC7DCF8E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DC9F88E2-F739-40ED-B3F8-623ECC43FCC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24E608D4-7BB2-4B37-ABD8-F15A7F8AFF1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6078B119-B759-46B9-A6A9-80084906CC8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9ADF70BB-AE1A-4184-91AC-B208768AD2C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3C533B8C-4427-49A9-9CF9-EC67193FA040}"/>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F30707F0-E68C-40A4-BA1C-C05488FEB30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0DC4A6A9-4A67-4D32-A201-8EC3B4C5503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B9DCD80D-6FCC-45EC-A59B-9D6BD6A0FE0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FA0D136C-E9EC-44E0-89BC-C78CF6D20E5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4D79BAE8-D1D0-4D63-93B1-EC2BFB228AE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7E9AA4F6-DC2D-46BA-AB71-829A3D0198A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69E3399B-B41C-4FCF-9E50-25E5AEB34C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A9D2FE09-6F8A-4E20-9D41-9BECDB2CFC3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49FA0617-556C-4EF1-8370-D24F3D54CAC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E4C671EB-08D3-48C0-8C65-F71AA212508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8347C4BD-EF21-4E72-AD79-CE2509BB5E1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0AA948AA-AFEE-41E7-96C9-46C47485C0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0820AB16-A21E-4AAF-874A-91277A6D7EA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99C95D20-DD79-4E10-8B8A-33E3E53A8AD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306F795F-1E0B-41D3-99A1-31115D7541F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C38E83BF-08F7-4742-A1E1-85EE46337BE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556F0D94-3941-4A14-B3DC-CF7E39787CF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20F2F7EA-415F-4AE6-ADD8-F0FC9667D28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2088E03C-33B9-427B-BD21-10B6F844AA1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D73C4171-2FD9-4B73-A0C3-B2326FA242B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B30C3457-066F-4EFD-A355-A95975C1267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30B8BF81-F794-464D-B102-8D39C0453F1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B0FD7DEC-7358-4451-B7D0-C1990DA05F6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ADA4AA21-2ADE-47E5-BF6C-21C395EAEA0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DB81BED5-9940-4B9A-96AC-5FA0DEAA4A7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89E50A2F-3B55-4472-A8A6-1238D8CA666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B48022E0-CC82-430E-9093-363CFAA079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04601071-C08F-483C-ABE7-EC217A43A8E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DC2FF5BB-8393-40DB-924D-B247A2695D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62B25338-9E00-47D2-A975-47CD95E87B8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44EA5963-6CB4-4869-9C7B-F881E740C4C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00AC5EBE-3783-443B-822D-4472EABBEE1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104C068D-65A9-4BB5-88B9-2B3DC12AA12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8A46DB24-EA82-4910-96BA-1702906562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33B8E5CC-4EB5-4561-85A7-0308EB4C8F1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F2F5B5C5-CAE2-4E8A-AF35-99B6168CB3D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70481ACC-D8C1-4F2F-B854-17975C83C83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B8787A6D-3139-43C6-B070-A93A91C394C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664E477B-9AD1-4130-937D-A006224390A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11944402-E608-480E-A754-044B288692E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06AA6B18-A8A5-40D5-8D9A-10325E15FA9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E11AD7B0-0BD2-494B-8958-9A61AFCAB5F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85696446-4139-4FD3-A413-1429197E2A8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B6C70ECF-18D5-41C8-A0DA-AFE84D266A1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76A8283E-9509-4E1C-BC85-0D1C3C4510E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2FE0AFF1-0216-46FC-86FA-E81B930CE78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4571AB03-FAB8-4633-91ED-8F48C6C689E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E5C2EFDE-16E0-40E3-B324-AFF3E6BE34A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55C2B755-8E49-4462-AEA1-E286F4CF44D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7B5C20F5-8531-45E8-9E24-1F6464BDFF4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4A1A295B-2A02-45C1-8CEE-C7A9EF7F8DB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9297DAFC-B34D-4C8C-82AC-BE0C5FBEF19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DC7A8EF4-57FA-4465-9E6E-6E8E38EC35B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F69298AD-117B-4458-9563-70B105FD4D9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5EDB2456-E6A4-4E43-8920-D47B44E9531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8E5103E7-6580-4999-BFDD-93092A01E8E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1650E8A9-124D-4CFD-808C-5A22D0297BD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5F8943FE-FAFB-4AAA-9688-D9D54A9B5C1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276A82E5-17C9-4998-AFA1-A5EB27354AF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0DABBCCF-273A-4FED-81EC-CDD38875C07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AABCD845-0DF2-4178-AA1C-A27C883875B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6E028D82-F25C-44D3-AFC8-3DAB5843DB6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B604AD93-A01E-4188-BE69-6725C376F67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37C6A82D-8741-4701-9088-2771F55D427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8C68063F-17CD-40EE-87A2-3054FB53AFB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8F703703-FB4B-465C-B4C1-43ADB26D43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818DCB22-455A-48D8-B01F-21C646EF0DC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6624B362-E157-4A4A-A575-2CD487AFB6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ACEAB989-8D79-4FFF-A2CF-6F9C9A0EAC3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8791C7A6-B3DD-447A-B3D1-B5800F09ADC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0B67625A-8CC4-4388-83C8-4F5A4B4B6B8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584E7186-7939-499C-8124-AF223D50575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4432986A-A73E-49F6-A747-D038873313A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FC670274-D3DE-4BCC-A033-45FCD524647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8E6013C4-0AF0-4639-A2E5-121D6610CD9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E2AAA390-24CF-42C0-BB43-20EFAEF79A8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42E08A9C-9FC1-4B11-BC67-9D5A8A51E7C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696D8DB1-F128-4C07-9874-FC8CC1EA134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61EBBD8E-62A1-434A-8E2C-47FC67ECE36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4898C350-4A79-4269-98F9-A3A63BFCA50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1A74C51D-CA7D-4141-B4BD-E9012B4D996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8DD9E885-6C30-49A7-AD39-96466AA3416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882531DF-FC32-4053-847E-41AEBBBC200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5936065D-0AFC-43DA-9CD8-3F4D4E6C6D1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4F11F580-5252-46A2-A03C-2C38B3C8304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059F8B4B-9715-4140-986C-467F141B43C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F09DA9FD-FC77-4ADE-B0E9-B9D25B37A1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6F52BBC9-CB62-4893-8867-1CBFA810D60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5C704AD4-7967-40DD-B207-6D3EBD20372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FACAAD46-07C0-4487-84D3-9CDCD8CF96E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E216210F-C6D4-4B6D-83DD-92D9DAA11C3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6D3E96FC-7EA8-4C57-88EF-BD97E837CEE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964526D5-CDFA-4251-B175-8A91FC88701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9D42D8AB-5DF3-474F-9BBD-676B158B78C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01433534-7CC3-4247-BE67-9B94076BB2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05E1BC59-E751-49BC-8B24-6951365CC2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5940F190-8228-41A1-ACAC-6C79CD0ABB7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EE544A9C-84C2-4D99-9B3F-28418CC92F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D50AEDB7-2327-4F42-B977-A55500982E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041B44A4-A7B4-45FB-B7C9-5820CE5AD2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C2031995-4FCE-48B6-9E51-E9C728DDEA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EE6C5F42-CFD8-4367-9C1C-35287502FC4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0D93E778-95DF-4B67-A55A-BAA19AE9BA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578B9C98-125C-4C4A-AD84-B0F232C49F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99C5DD05-BFE6-473C-9613-E563FE7BE4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9501555E-FD7E-4528-B9F7-3506B9BE7D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C5BBD649-8723-4AC9-A8D5-F6AA6745E3D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97032C0C-7AC4-40A3-93D7-E12CFFA23C7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F32DE898-B5E6-41EA-BDB8-217BD2F967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51CF8378-EBAA-48C9-B8FD-C3F7382751D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C220E051-1FE5-4E3C-994A-925D8035B7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B7EF973C-EB27-4609-8B37-B7745A6D357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5E7EE886-0C3F-495A-9C96-6A2774CAB52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B6A0F615-3B13-4B49-8D50-413A6B7DD2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29ED7E4E-DAEB-4FBA-8341-C11951D291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268CFCEC-BF66-497B-B17B-E94D43ADBA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23A133E6-67AC-4751-937E-C0A9708817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83BC7AFB-78C4-488C-AADA-269B471EEF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E7B8C0EB-B806-4801-856D-F9D4146A9E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72C0975B-B2E1-4D53-8FF4-8EEF68D221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B4F96BB9-737B-483F-9253-1BCC7DA810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F1DE97AA-FC05-413A-951B-CD42B47D23E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EE7AC89C-5B74-444C-96F2-A6BEBD65F9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DBA13E00-7F1C-41E2-B750-7637C803B5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3BB93EA5-6522-4AFD-ACFB-A554D9FC01C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EE364B82-AA64-44EC-837A-A12AFB48E7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0333D905-99F5-466D-A9D4-30958EC406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F03A036D-9188-446C-A6CE-B85A95345D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96BD4F2D-D768-4DC7-B410-4A9C9DFCC8A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9602D5F7-D4DA-4B7F-A66E-27261FD725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30DD545E-C7F5-4055-890C-77E5EE5B10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4614D39B-FDE0-4ED1-96C0-B52B7ECF9B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07569DCD-68A2-4A9A-AE7E-68685018961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1A3D4077-244B-42C2-961C-FC907F1348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EDB0483D-5E30-4802-88BA-253404A4B3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3194C3FE-B3C5-4C54-A9B4-1602689850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B801000C-B434-4364-97BE-8BD07174E0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24A0591A-8D0C-4526-AB6C-B31A7E0E54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EE470C8F-FF3B-45CC-B3E5-1E4A2C2C13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137AF1E9-E9A1-49B7-A2C8-E9F5A382BAD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4E93A3D5-003C-4302-835D-4243CDBECC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93A08798-4F70-4EC0-9DB9-B3BEEBA81D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FBA21DDC-0398-405D-B9D5-56739043C0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D68DA7EA-BB22-4B40-A9AD-8615C9ED24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0372F6E5-83FE-4DAD-A38D-8F9DBAD9E92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DC4CC3E6-E54F-438E-B90C-2A08120FC5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7E902B9C-F000-4AC7-AFA2-A73E31D1E3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5580F34E-121D-41D5-A6FB-B8B295AC62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4AF21666-F47F-4511-AEAD-A46A788E583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9F7014ED-6048-4652-9C02-8F7F0A1F97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9F181074-DEC4-4927-AB38-9C85EF78B8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E4F66DD9-429F-4405-9748-772DFD8221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86D952E5-67DE-400D-BA67-029B8600C5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07A1C686-00BA-4EA7-A809-AF99D168F7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EFBB6E45-1041-463F-877B-C22DCC8617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BFF21260-483C-48EC-A47A-031A152C35E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C87D369A-90CE-43E3-A310-B176AF9519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F6251D2E-1DA7-4818-B044-99DA984A4B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C0BE33EE-977F-47AE-AB96-D7B06932A7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ADA87EF2-D1ED-4540-9B89-B240142406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8AAB790D-1F67-4C09-8F21-E11981E41A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2455E368-B629-44D1-92C4-6543D65D39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87FC470B-8355-4249-8F3D-A33155D36E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762DA1BB-44E0-4B49-BF6A-CCC11F7120F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A4042787-27FF-41E5-B8CD-89C5EA3BC1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D3BA9C0D-FF46-4BAB-A05F-9BD2EB07E4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FDC5BEB8-D128-47BC-A9B4-A0908D2A277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FE12483A-0841-4651-8412-29FB6C6CF1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5041295D-8936-4769-BE22-9593D6F10E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93D43CF3-AC6C-4FC8-8505-E5F5DC0181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881F5BD2-60D6-4B2C-9B96-1375741FA9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06746664-CBC2-46A4-9090-5EA00BF56A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3CC7F567-C2E6-4383-A81F-778DE73F43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F3397B14-E0E9-447E-8E13-65C6F78A01A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F952397A-5529-4876-9523-3C185810BC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4A8D55DF-39C1-44B1-B7FE-5793041295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73EE1F35-F2DC-4B81-AFC7-443159723A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AF376B41-AEC5-4F66-AB8C-A6C17E6815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3238EAF6-F549-44D6-AE31-1C3B5A9812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6CF08AAB-8530-4C26-9944-5928F295F3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DA34A79A-996F-4E6B-9F34-5539413F95F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F4BDFFA1-6682-4ED0-B297-ACE3FABB57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9573F2E5-738E-4869-ABA5-6F203382F3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D20B32A6-2EBC-4986-95B5-0065A36588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E1DA0543-7C70-449A-A00D-C9A82863360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D7EA2FCD-B163-44DF-8374-5A8652D769E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A9B6B925-CBF3-4368-B14D-02CAF7E3BF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A390C137-79DD-4279-8A7D-F5F34AC5DF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E3A31484-A9A4-4F61-955C-F6100B56D4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F58F0E87-00FE-4A8F-BDED-CF47097C01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70E77A23-EADC-4B81-BB8F-9365402FC78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4ED21EAD-B6AA-4406-9610-20E87AE0B1F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0089251B-36D0-4A5E-8693-F6B4D7387CC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8B507B7F-AF6F-46F0-BC72-F7BF36DFF5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28EB1BEE-E2C3-4657-8254-D954C12F2A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81BB46B5-979A-43FD-8ED2-13CE8B5F5C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4C7C570A-E7C9-44D9-B1B2-BAED9843797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4351229C-0AF5-4236-BF18-9F219C048A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26FEF048-CEE7-4BFB-A27B-2022DEE340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7A714F94-923E-40D5-98C4-15D1865FFF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28CBFB76-6307-403A-A1C0-6914CC3771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00C3D93A-CF15-4AF3-85DF-6A3B5BAD00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CEB9A6F1-42D8-484F-8D6B-1DCD4BCFBD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9DE526E3-C138-448F-BF01-91B39172DE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C6E5B437-6DC6-44B5-988D-4553EAEA1B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A92BC34A-A517-4831-A785-DFC4EC25EC6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DACAB1BD-186D-4342-802B-885487DAB2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37223F8D-3EE7-4AD9-8DD9-91DB49642B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81AF3003-6987-4BB0-81AA-66B946B525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1DA1D2F0-BA82-4351-9187-0243AB2A8F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28ADA462-53E5-4533-B629-9B073EDA649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FB1B72E6-F04D-4A83-BC3B-8FB43B312D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6CE15690-D5C0-43A9-9C66-089AEDB406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853EEF28-6299-4125-A75C-C4715BFB25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9C2C6D94-B13D-43BF-98D8-74F5F74195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50D05AEA-B127-4930-944F-D89601DB853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AA3E79D0-536E-4EAC-85AF-AABADB5FD4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4E8B93D3-C82A-496C-B75E-EE2086C38FC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670FAFF7-0BC9-4A91-8E03-1C5EFBD579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835CAAB0-8802-47A1-B04E-7E1389B60D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E3583208-A050-4BA6-9465-FCF636CED1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C7C7BFF9-029B-4E49-9112-C0C55A50E9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558E002C-07CA-4498-9B37-89E7EF6A15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67054E1F-273B-45FA-A897-8779E265A2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FE8D4739-455F-4E83-A36C-6884D8FB589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3F3C2177-E3DB-4D50-BB94-C9864DB54B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C57C911B-14F1-4D75-A381-7EC3D9FB45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F25A6144-AB59-41F4-81FB-144E7E9FCA8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D5B34DC4-0862-4333-BE46-B4EF0ADC39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75A78352-B0D9-40AA-8DA0-496387DA3AF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33EACABE-9736-48DF-B8CE-1178A9E08E7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4E561413-04F6-4734-8ED0-31D70E8E61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6DD07F83-A8EE-4889-B0C8-29E31FB15F4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EE23ECBA-727A-4A83-96C6-347D5E86617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68C82808-3B55-4AF5-AD37-DF297E3D6C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73EEEA10-1E3B-40CB-91BC-C4065CDE06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7F67ABF9-1805-4F09-9ED3-984650B593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E0CD4864-2016-4EDA-86CC-083D3B2A04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DCE472DB-AD0B-47DD-9983-67B7986774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81D94BC0-8335-4B69-BD2A-1DA607F8FD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05390893-0770-4A5F-97AF-27F60FAD4F9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31FD3235-9370-4607-AEB5-88BBB585F2D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8E0AFFF0-5513-4DC1-8B62-085CA34425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EEB467ED-4D6C-4821-8ECE-FF007946AE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552DB111-7272-4D65-9F44-C3FE9398CB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883D27D9-0A45-43C9-B79C-C7ABE90D8C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03E6610B-0276-4B69-B812-62852A93A0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E8C3356F-DEC6-45D3-A36F-6B620B49674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0008E038-A68D-45C0-BC9E-221CD6F2F5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98A245CC-0170-4F0B-B265-9469FCF03F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05D11399-4384-410F-B314-7F1E6C4314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FFEA803C-A11A-47A7-B673-A41FCD6A8A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93220CAC-C126-4969-8B47-FE7FA7988C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E9496320-5557-4F39-8E9B-6FF3963F43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C682EBBA-330D-4B89-BB82-86C47E36B5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620406B7-D52D-4AA6-BC06-198A3DC35D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628DADB2-972C-4A24-A7E1-1F727C25E6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C25AEE40-3FC0-40CA-BE5C-D2AFDC891BE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65D0D0FA-7929-430D-98DB-E340CB844C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82514627-91CD-4473-8F80-4F77E6C0D3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EFD006EF-A72B-4D32-BB9A-F878E1CC8BF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4E4C2DA1-414C-4F7F-B472-8AEF6F6712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171F418E-3383-48A8-AC67-3504F447DD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515427F3-231C-44DA-91AD-849F77E70AC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9FF7F3B9-F876-48FD-9B3C-48917BE387F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BFA02AC3-6699-44D1-92C0-8AAEF60ED56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B5BBA57D-A82D-459C-906C-933BEA1B1E3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E3239475-6C00-48E3-B6B5-67F1F96024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111F8E4D-E9C3-4DB8-A23B-37A65C5ACF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ED5C8F93-0EEB-48D6-B680-3142A8AE11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D53BDDB3-7340-4D80-BD66-21FD43B059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1AF2634E-5CB4-4951-90E7-D3B955EAED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3D661439-4001-4ED9-BB07-4715B1FF19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5FA5421D-A14D-4A09-AB05-795CC4B9A2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861F0A1B-99BB-45B3-A7E0-E115102D31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8E095B0A-5958-4166-855C-EAFCF8037C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D4C29840-9F63-4C19-895B-6D4A7E3D72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9459D31E-95C5-4F58-AD74-689DF3F42E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27F2949C-CCD3-4529-87AF-692098B43B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13AD91FA-AC78-46BF-A5D2-B9650D2AD2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A6BEA1BA-EE47-4EE6-9FE6-1F73D659CA6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8516EB79-94E8-48EB-86CD-55BCDF3D31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DFE8EB9E-0A78-4C84-8891-46E6FF8DCF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B638A761-89F2-410E-9FF7-766C9B570C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166F3D09-0B2C-400F-9DEE-2BF6FB503A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94133CF6-9064-42FF-AACD-5EF4150FF7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workbookViewId="0">
      <selection sqref="A1:E1"/>
    </sheetView>
  </sheetViews>
  <sheetFormatPr defaultColWidth="8" defaultRowHeight="30" customHeight="1"/>
  <cols>
    <col min="1" max="1" width="35" style="1746" customWidth="1"/>
    <col min="2" max="4" width="9.28515625" style="1745" customWidth="1"/>
    <col min="5" max="5" width="35" style="1745" customWidth="1"/>
    <col min="6" max="16384" width="8" style="1745"/>
  </cols>
  <sheetData>
    <row r="1" spans="1:11" ht="33" customHeight="1">
      <c r="A1" s="1751" t="s">
        <v>848</v>
      </c>
      <c r="B1" s="1751"/>
      <c r="C1" s="1751"/>
      <c r="D1" s="1751"/>
      <c r="E1" s="1751"/>
      <c r="J1" s="1753"/>
      <c r="K1" s="1752" t="s">
        <v>847</v>
      </c>
    </row>
    <row r="2" spans="1:11" ht="33" customHeight="1">
      <c r="A2" s="1751" t="s">
        <v>849</v>
      </c>
      <c r="B2" s="1751"/>
      <c r="C2" s="1751"/>
      <c r="D2" s="1751"/>
      <c r="E2" s="1751"/>
    </row>
    <row r="3" spans="1:11" ht="33" customHeight="1">
      <c r="A3" s="1751" t="s">
        <v>850</v>
      </c>
      <c r="B3" s="1751"/>
      <c r="C3" s="1751"/>
      <c r="D3" s="1751"/>
      <c r="E3" s="1751"/>
    </row>
    <row r="4" spans="1:11" ht="33" customHeight="1">
      <c r="A4" s="1751" t="s">
        <v>851</v>
      </c>
      <c r="B4" s="1751"/>
      <c r="C4" s="1751"/>
      <c r="D4" s="1751"/>
      <c r="E4" s="1751"/>
    </row>
    <row r="5" spans="1:11" ht="33" customHeight="1"/>
    <row r="6" spans="1:11" ht="33" customHeight="1"/>
    <row r="7" spans="1:11" ht="33" customHeight="1"/>
    <row r="8" spans="1:11" ht="33" customHeight="1">
      <c r="A8" s="1754">
        <v>42856</v>
      </c>
      <c r="B8" s="1750"/>
      <c r="C8" s="1750"/>
      <c r="D8" s="1750"/>
      <c r="E8" s="1750"/>
    </row>
    <row r="9" spans="1:11" ht="33" customHeight="1"/>
    <row r="10" spans="1:11" ht="33" customHeight="1">
      <c r="A10" s="1749" t="s">
        <v>852</v>
      </c>
      <c r="B10" s="1749"/>
      <c r="C10" s="1749"/>
      <c r="D10" s="1749"/>
      <c r="E10" s="1749"/>
    </row>
    <row r="11" spans="1:11" ht="33" customHeight="1">
      <c r="A11" s="1749"/>
      <c r="B11" s="1749"/>
      <c r="C11" s="1749"/>
      <c r="D11" s="1749"/>
      <c r="E11" s="1749"/>
    </row>
    <row r="12" spans="1:11" ht="33" customHeight="1">
      <c r="A12" s="1749"/>
      <c r="B12" s="1749"/>
      <c r="C12" s="1749"/>
      <c r="D12" s="1749"/>
      <c r="E12" s="1749"/>
    </row>
    <row r="13" spans="1:11" ht="30" customHeight="1">
      <c r="A13" s="1748"/>
      <c r="B13" s="1747"/>
      <c r="C13" s="1747"/>
      <c r="D13" s="1747"/>
      <c r="E13" s="1747"/>
    </row>
    <row r="14" spans="1:11" ht="30" customHeight="1">
      <c r="A14" s="1748"/>
      <c r="B14" s="1747"/>
      <c r="C14" s="1747"/>
      <c r="D14" s="1747"/>
      <c r="E14" s="1747"/>
    </row>
  </sheetData>
  <sheetProtection algorithmName="SHA-512" hashValue="916W3f3l2bz7OEiJ84pCNrIAbJbSzANIW2MEqZJ8/IoN4z99HSF+ZJdYS2B2HcFoZak+gqzfNJ4+su7kkqjSdg==" saltValue="VklLX/iuoMm1hrKPA+XlpQ==" spinCount="100000" sheet="1" scenarios="1" insertRows="0" deleteRows="0" sort="0" autoFilter="0"/>
  <mergeCells count="8">
    <mergeCell ref="A8:E8"/>
    <mergeCell ref="A10:E10"/>
    <mergeCell ref="A12:E12"/>
    <mergeCell ref="A1:E1"/>
    <mergeCell ref="A2:E2"/>
    <mergeCell ref="A3:E3"/>
    <mergeCell ref="A4:E4"/>
    <mergeCell ref="A11:E11"/>
  </mergeCells>
  <phoneticPr fontId="3"/>
  <printOptions horizontalCentered="1" verticalCentered="1"/>
  <pageMargins left="0.78740157480314965" right="0.78740157480314965" top="1.29" bottom="0.44" header="0.51181102362204722" footer="0.32"/>
  <pageSetup paperSize="9" orientation="landscape" horizontalDpi="400"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174</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151</v>
      </c>
      <c r="C3" s="235" t="s">
        <v>22</v>
      </c>
      <c r="D3" s="235"/>
      <c r="E3" s="61"/>
      <c r="F3" s="61"/>
      <c r="O3" s="61"/>
      <c r="P3" s="61"/>
      <c r="Q3" s="61"/>
      <c r="R3" s="61"/>
      <c r="S3" s="61"/>
      <c r="T3" s="61"/>
      <c r="U3" s="61"/>
      <c r="V3" s="234"/>
      <c r="W3" s="54" t="s">
        <v>152</v>
      </c>
    </row>
    <row r="4" spans="1:28" ht="15" customHeight="1">
      <c r="A4" s="108" t="s">
        <v>153</v>
      </c>
      <c r="C4" s="235" t="s">
        <v>175</v>
      </c>
      <c r="D4" s="235"/>
      <c r="E4" s="61"/>
      <c r="F4" s="61"/>
      <c r="O4" s="236" t="s">
        <v>154</v>
      </c>
      <c r="P4" s="237"/>
      <c r="Q4" s="237"/>
      <c r="R4" s="237"/>
      <c r="S4" s="237"/>
      <c r="T4" s="237"/>
      <c r="U4" s="238"/>
      <c r="V4" s="234"/>
      <c r="W4" s="178" t="s">
        <v>176</v>
      </c>
    </row>
    <row r="5" spans="1:28" ht="15" customHeight="1">
      <c r="O5" s="239" t="s">
        <v>73</v>
      </c>
      <c r="P5" s="240" t="s">
        <v>155</v>
      </c>
      <c r="Q5" s="240" t="s">
        <v>156</v>
      </c>
      <c r="R5" s="240" t="s">
        <v>157</v>
      </c>
      <c r="S5" s="240" t="s">
        <v>158</v>
      </c>
      <c r="T5" s="240" t="s">
        <v>159</v>
      </c>
      <c r="U5" s="241" t="s">
        <v>160</v>
      </c>
      <c r="W5" s="178" t="s">
        <v>177</v>
      </c>
    </row>
    <row r="6" spans="1:28" ht="15" customHeight="1">
      <c r="O6" s="242"/>
      <c r="P6" s="243"/>
      <c r="Q6" s="243"/>
      <c r="R6" s="243"/>
      <c r="S6" s="243"/>
      <c r="T6" s="243"/>
      <c r="U6" s="244"/>
      <c r="W6" s="178" t="s">
        <v>178</v>
      </c>
    </row>
    <row r="7" spans="1:28" ht="15" customHeight="1">
      <c r="Q7" s="234"/>
      <c r="R7" s="234"/>
      <c r="S7" s="234"/>
      <c r="T7" s="234"/>
      <c r="U7" s="234"/>
      <c r="W7" s="178" t="s">
        <v>179</v>
      </c>
    </row>
    <row r="8" spans="1:28" ht="15" customHeight="1">
      <c r="P8" s="234"/>
      <c r="Q8" s="234"/>
      <c r="R8" s="234"/>
      <c r="S8" s="234"/>
      <c r="T8" s="234"/>
      <c r="U8" s="234"/>
      <c r="W8" s="178" t="s">
        <v>180</v>
      </c>
    </row>
    <row r="9" spans="1:28" ht="15" customHeight="1" thickBot="1">
      <c r="G9" s="54" t="s">
        <v>161</v>
      </c>
      <c r="L9" s="54" t="s">
        <v>162</v>
      </c>
      <c r="P9" s="234"/>
      <c r="Q9" s="234"/>
      <c r="R9" s="234"/>
      <c r="S9" s="234"/>
      <c r="T9" s="234"/>
      <c r="U9" s="234"/>
      <c r="W9" s="83" t="s">
        <v>181</v>
      </c>
    </row>
    <row r="10" spans="1:28" ht="15" customHeight="1">
      <c r="A10" s="245" t="s">
        <v>17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163</v>
      </c>
      <c r="B12" s="251" t="s">
        <v>164</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165</v>
      </c>
      <c r="B13" s="258" t="s">
        <v>166</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66</v>
      </c>
      <c r="B14" s="258" t="s">
        <v>167</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67</v>
      </c>
      <c r="B15" s="266" t="s">
        <v>168</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169</v>
      </c>
      <c r="C16" s="271"/>
      <c r="D16" s="272"/>
      <c r="E16" s="287">
        <v>1</v>
      </c>
      <c r="F16" s="288">
        <v>1</v>
      </c>
      <c r="G16" s="288">
        <v>1</v>
      </c>
      <c r="H16" s="288">
        <v>1</v>
      </c>
      <c r="I16" s="288">
        <v>1</v>
      </c>
      <c r="J16" s="288">
        <v>1</v>
      </c>
      <c r="K16" s="288">
        <v>1</v>
      </c>
      <c r="L16" s="288">
        <v>1</v>
      </c>
      <c r="M16" s="288">
        <v>1</v>
      </c>
      <c r="N16" s="288">
        <v>1</v>
      </c>
      <c r="O16" s="288">
        <v>1</v>
      </c>
      <c r="P16" s="288">
        <v>1</v>
      </c>
      <c r="Q16" s="288">
        <v>1</v>
      </c>
      <c r="R16" s="288">
        <v>1</v>
      </c>
      <c r="S16" s="288">
        <v>1</v>
      </c>
      <c r="T16" s="288">
        <v>1</v>
      </c>
      <c r="U16" s="288">
        <v>1</v>
      </c>
      <c r="V16" s="288">
        <v>1</v>
      </c>
      <c r="W16" s="288">
        <v>1</v>
      </c>
      <c r="X16" s="288">
        <v>1</v>
      </c>
      <c r="Y16" s="288">
        <v>1</v>
      </c>
      <c r="Z16" s="288">
        <v>1</v>
      </c>
      <c r="AA16" s="288">
        <v>1</v>
      </c>
      <c r="AB16" s="289">
        <v>1</v>
      </c>
    </row>
    <row r="17" spans="1:28" ht="15" customHeight="1" thickBot="1">
      <c r="A17" s="273"/>
      <c r="B17" s="274" t="s">
        <v>170</v>
      </c>
      <c r="C17" s="275"/>
      <c r="D17" s="276"/>
      <c r="E17" s="290">
        <v>0</v>
      </c>
      <c r="F17" s="291">
        <v>0</v>
      </c>
      <c r="G17" s="291">
        <v>0</v>
      </c>
      <c r="H17" s="291">
        <v>0</v>
      </c>
      <c r="I17" s="291">
        <v>16</v>
      </c>
      <c r="J17" s="291">
        <v>120</v>
      </c>
      <c r="K17" s="291">
        <v>147</v>
      </c>
      <c r="L17" s="291">
        <v>156</v>
      </c>
      <c r="M17" s="291">
        <v>133</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68</v>
      </c>
      <c r="B18" s="266" t="s">
        <v>168</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171</v>
      </c>
      <c r="C19" s="271"/>
      <c r="D19" s="272"/>
      <c r="E19" s="287">
        <v>1</v>
      </c>
      <c r="F19" s="288">
        <v>1</v>
      </c>
      <c r="G19" s="288">
        <v>1</v>
      </c>
      <c r="H19" s="288">
        <v>1</v>
      </c>
      <c r="I19" s="288">
        <v>1</v>
      </c>
      <c r="J19" s="288">
        <v>1</v>
      </c>
      <c r="K19" s="288">
        <v>1</v>
      </c>
      <c r="L19" s="288">
        <v>1</v>
      </c>
      <c r="M19" s="288">
        <v>1</v>
      </c>
      <c r="N19" s="288">
        <v>1</v>
      </c>
      <c r="O19" s="288">
        <v>1</v>
      </c>
      <c r="P19" s="288">
        <v>1</v>
      </c>
      <c r="Q19" s="288">
        <v>1</v>
      </c>
      <c r="R19" s="288">
        <v>1</v>
      </c>
      <c r="S19" s="288">
        <v>1</v>
      </c>
      <c r="T19" s="288">
        <v>1</v>
      </c>
      <c r="U19" s="288">
        <v>1</v>
      </c>
      <c r="V19" s="288">
        <v>1</v>
      </c>
      <c r="W19" s="288">
        <v>1</v>
      </c>
      <c r="X19" s="288">
        <v>1</v>
      </c>
      <c r="Y19" s="288">
        <v>1</v>
      </c>
      <c r="Z19" s="288">
        <v>1</v>
      </c>
      <c r="AA19" s="288">
        <v>1</v>
      </c>
      <c r="AB19" s="289">
        <v>1</v>
      </c>
    </row>
    <row r="20" spans="1:28" ht="15" customHeight="1" thickBot="1">
      <c r="A20" s="273"/>
      <c r="B20" s="274" t="s">
        <v>170</v>
      </c>
      <c r="C20" s="275"/>
      <c r="D20" s="276"/>
      <c r="E20" s="290">
        <v>0</v>
      </c>
      <c r="F20" s="291">
        <v>0</v>
      </c>
      <c r="G20" s="291">
        <v>0</v>
      </c>
      <c r="H20" s="291">
        <v>0</v>
      </c>
      <c r="I20" s="291">
        <v>22</v>
      </c>
      <c r="J20" s="291">
        <v>194</v>
      </c>
      <c r="K20" s="291">
        <v>257</v>
      </c>
      <c r="L20" s="291">
        <v>309</v>
      </c>
      <c r="M20" s="291">
        <v>295</v>
      </c>
      <c r="N20" s="291">
        <v>229</v>
      </c>
      <c r="O20" s="291">
        <v>146</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69</v>
      </c>
      <c r="B21" s="266" t="s">
        <v>168</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169</v>
      </c>
      <c r="C22" s="271"/>
      <c r="D22" s="272"/>
      <c r="E22" s="287">
        <v>1</v>
      </c>
      <c r="F22" s="288">
        <v>1</v>
      </c>
      <c r="G22" s="288">
        <v>1</v>
      </c>
      <c r="H22" s="288">
        <v>1</v>
      </c>
      <c r="I22" s="288">
        <v>1</v>
      </c>
      <c r="J22" s="288">
        <v>1</v>
      </c>
      <c r="K22" s="288">
        <v>1</v>
      </c>
      <c r="L22" s="288">
        <v>1</v>
      </c>
      <c r="M22" s="288">
        <v>1</v>
      </c>
      <c r="N22" s="288">
        <v>1</v>
      </c>
      <c r="O22" s="288">
        <v>1</v>
      </c>
      <c r="P22" s="288">
        <v>1</v>
      </c>
      <c r="Q22" s="288">
        <v>1</v>
      </c>
      <c r="R22" s="288">
        <v>1</v>
      </c>
      <c r="S22" s="288">
        <v>1</v>
      </c>
      <c r="T22" s="288">
        <v>1</v>
      </c>
      <c r="U22" s="288">
        <v>1</v>
      </c>
      <c r="V22" s="288">
        <v>1</v>
      </c>
      <c r="W22" s="288">
        <v>1</v>
      </c>
      <c r="X22" s="288">
        <v>1</v>
      </c>
      <c r="Y22" s="288">
        <v>1</v>
      </c>
      <c r="Z22" s="288">
        <v>1</v>
      </c>
      <c r="AA22" s="288">
        <v>1</v>
      </c>
      <c r="AB22" s="289">
        <v>1</v>
      </c>
    </row>
    <row r="23" spans="1:28" ht="15" customHeight="1" thickBot="1">
      <c r="A23" s="273"/>
      <c r="B23" s="274" t="s">
        <v>170</v>
      </c>
      <c r="C23" s="275"/>
      <c r="D23" s="276"/>
      <c r="E23" s="290">
        <v>0</v>
      </c>
      <c r="F23" s="291">
        <v>0</v>
      </c>
      <c r="G23" s="291">
        <v>0</v>
      </c>
      <c r="H23" s="291">
        <v>0</v>
      </c>
      <c r="I23" s="291">
        <v>16</v>
      </c>
      <c r="J23" s="291">
        <v>161</v>
      </c>
      <c r="K23" s="291">
        <v>242</v>
      </c>
      <c r="L23" s="291">
        <v>322</v>
      </c>
      <c r="M23" s="291">
        <v>344</v>
      </c>
      <c r="N23" s="291">
        <v>310</v>
      </c>
      <c r="O23" s="291">
        <v>231</v>
      </c>
      <c r="P23" s="291">
        <v>147</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70</v>
      </c>
      <c r="B24" s="266" t="s">
        <v>168</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171</v>
      </c>
      <c r="C25" s="271"/>
      <c r="D25" s="272"/>
      <c r="E25" s="287">
        <v>1</v>
      </c>
      <c r="F25" s="288">
        <v>1</v>
      </c>
      <c r="G25" s="288">
        <v>1</v>
      </c>
      <c r="H25" s="288">
        <v>1</v>
      </c>
      <c r="I25" s="288">
        <v>1</v>
      </c>
      <c r="J25" s="288">
        <v>1</v>
      </c>
      <c r="K25" s="288">
        <v>1</v>
      </c>
      <c r="L25" s="288">
        <v>1</v>
      </c>
      <c r="M25" s="288">
        <v>1</v>
      </c>
      <c r="N25" s="288">
        <v>1</v>
      </c>
      <c r="O25" s="288">
        <v>1</v>
      </c>
      <c r="P25" s="288">
        <v>1</v>
      </c>
      <c r="Q25" s="288">
        <v>1</v>
      </c>
      <c r="R25" s="288">
        <v>1</v>
      </c>
      <c r="S25" s="288">
        <v>1</v>
      </c>
      <c r="T25" s="288">
        <v>1</v>
      </c>
      <c r="U25" s="288">
        <v>1</v>
      </c>
      <c r="V25" s="288">
        <v>1</v>
      </c>
      <c r="W25" s="288">
        <v>1</v>
      </c>
      <c r="X25" s="288">
        <v>1</v>
      </c>
      <c r="Y25" s="288">
        <v>1</v>
      </c>
      <c r="Z25" s="288">
        <v>1</v>
      </c>
      <c r="AA25" s="288">
        <v>1</v>
      </c>
      <c r="AB25" s="289">
        <v>1</v>
      </c>
    </row>
    <row r="26" spans="1:28" ht="15" customHeight="1" thickBot="1">
      <c r="A26" s="273"/>
      <c r="B26" s="274" t="s">
        <v>170</v>
      </c>
      <c r="C26" s="275"/>
      <c r="D26" s="276"/>
      <c r="E26" s="290">
        <v>0</v>
      </c>
      <c r="F26" s="291">
        <v>0</v>
      </c>
      <c r="G26" s="291">
        <v>0</v>
      </c>
      <c r="H26" s="291">
        <v>0</v>
      </c>
      <c r="I26" s="291">
        <v>4</v>
      </c>
      <c r="J26" s="291">
        <v>31</v>
      </c>
      <c r="K26" s="291">
        <v>63</v>
      </c>
      <c r="L26" s="291">
        <v>137</v>
      </c>
      <c r="M26" s="291">
        <v>206</v>
      </c>
      <c r="N26" s="291">
        <v>245</v>
      </c>
      <c r="O26" s="291">
        <v>247</v>
      </c>
      <c r="P26" s="291">
        <v>218</v>
      </c>
      <c r="Q26" s="291">
        <v>169</v>
      </c>
      <c r="R26" s="291">
        <v>125</v>
      </c>
      <c r="S26" s="291">
        <v>107</v>
      </c>
      <c r="T26" s="291">
        <v>80</v>
      </c>
      <c r="U26" s="291">
        <v>50</v>
      </c>
      <c r="V26" s="291">
        <v>14</v>
      </c>
      <c r="W26" s="291">
        <v>0</v>
      </c>
      <c r="X26" s="291">
        <v>0</v>
      </c>
      <c r="Y26" s="291">
        <v>0</v>
      </c>
      <c r="Z26" s="291">
        <v>0</v>
      </c>
      <c r="AA26" s="291">
        <v>0</v>
      </c>
      <c r="AB26" s="292">
        <v>0</v>
      </c>
    </row>
    <row r="27" spans="1:28" ht="15" customHeight="1">
      <c r="A27" s="265" t="s">
        <v>71</v>
      </c>
      <c r="B27" s="266" t="s">
        <v>168</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169</v>
      </c>
      <c r="C28" s="271"/>
      <c r="D28" s="272"/>
      <c r="E28" s="287">
        <v>1</v>
      </c>
      <c r="F28" s="288">
        <v>1</v>
      </c>
      <c r="G28" s="288">
        <v>1</v>
      </c>
      <c r="H28" s="288">
        <v>1</v>
      </c>
      <c r="I28" s="288">
        <v>1</v>
      </c>
      <c r="J28" s="288">
        <v>1</v>
      </c>
      <c r="K28" s="288">
        <v>1</v>
      </c>
      <c r="L28" s="288">
        <v>1</v>
      </c>
      <c r="M28" s="288">
        <v>1</v>
      </c>
      <c r="N28" s="288">
        <v>1</v>
      </c>
      <c r="O28" s="288">
        <v>1</v>
      </c>
      <c r="P28" s="288">
        <v>1</v>
      </c>
      <c r="Q28" s="288">
        <v>1</v>
      </c>
      <c r="R28" s="288">
        <v>1</v>
      </c>
      <c r="S28" s="288">
        <v>1</v>
      </c>
      <c r="T28" s="288">
        <v>1</v>
      </c>
      <c r="U28" s="288">
        <v>1</v>
      </c>
      <c r="V28" s="288">
        <v>1</v>
      </c>
      <c r="W28" s="288">
        <v>1</v>
      </c>
      <c r="X28" s="288">
        <v>1</v>
      </c>
      <c r="Y28" s="288">
        <v>1</v>
      </c>
      <c r="Z28" s="288">
        <v>1</v>
      </c>
      <c r="AA28" s="288">
        <v>1</v>
      </c>
      <c r="AB28" s="289">
        <v>1</v>
      </c>
    </row>
    <row r="29" spans="1:28" ht="15" customHeight="1" thickBot="1">
      <c r="A29" s="273"/>
      <c r="B29" s="274" t="s">
        <v>170</v>
      </c>
      <c r="C29" s="275"/>
      <c r="D29" s="276"/>
      <c r="E29" s="290">
        <v>0</v>
      </c>
      <c r="F29" s="291">
        <v>0</v>
      </c>
      <c r="G29" s="291">
        <v>0</v>
      </c>
      <c r="H29" s="291">
        <v>0</v>
      </c>
      <c r="I29" s="291">
        <v>4</v>
      </c>
      <c r="J29" s="291">
        <v>31</v>
      </c>
      <c r="K29" s="291">
        <v>63</v>
      </c>
      <c r="L29" s="291">
        <v>93</v>
      </c>
      <c r="M29" s="291">
        <v>116</v>
      </c>
      <c r="N29" s="291">
        <v>130</v>
      </c>
      <c r="O29" s="291">
        <v>163</v>
      </c>
      <c r="P29" s="291">
        <v>229</v>
      </c>
      <c r="Q29" s="291">
        <v>269</v>
      </c>
      <c r="R29" s="291">
        <v>267</v>
      </c>
      <c r="S29" s="291">
        <v>224</v>
      </c>
      <c r="T29" s="291">
        <v>156</v>
      </c>
      <c r="U29" s="291">
        <v>84</v>
      </c>
      <c r="V29" s="291">
        <v>16</v>
      </c>
      <c r="W29" s="291">
        <v>0</v>
      </c>
      <c r="X29" s="291">
        <v>0</v>
      </c>
      <c r="Y29" s="291">
        <v>0</v>
      </c>
      <c r="Z29" s="291">
        <v>0</v>
      </c>
      <c r="AA29" s="291">
        <v>0</v>
      </c>
      <c r="AB29" s="292">
        <v>0</v>
      </c>
    </row>
    <row r="30" spans="1:28" ht="15" customHeight="1">
      <c r="A30" s="265" t="s">
        <v>72</v>
      </c>
      <c r="B30" s="266" t="s">
        <v>168</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171</v>
      </c>
      <c r="C31" s="271"/>
      <c r="D31" s="272"/>
      <c r="E31" s="287">
        <v>1</v>
      </c>
      <c r="F31" s="288">
        <v>1</v>
      </c>
      <c r="G31" s="288">
        <v>1</v>
      </c>
      <c r="H31" s="288">
        <v>1</v>
      </c>
      <c r="I31" s="288">
        <v>1</v>
      </c>
      <c r="J31" s="288">
        <v>1</v>
      </c>
      <c r="K31" s="288">
        <v>1</v>
      </c>
      <c r="L31" s="288">
        <v>1</v>
      </c>
      <c r="M31" s="288">
        <v>1</v>
      </c>
      <c r="N31" s="288">
        <v>1</v>
      </c>
      <c r="O31" s="288">
        <v>1</v>
      </c>
      <c r="P31" s="288">
        <v>1</v>
      </c>
      <c r="Q31" s="288">
        <v>1</v>
      </c>
      <c r="R31" s="288">
        <v>1</v>
      </c>
      <c r="S31" s="288">
        <v>1</v>
      </c>
      <c r="T31" s="288">
        <v>1</v>
      </c>
      <c r="U31" s="288">
        <v>1</v>
      </c>
      <c r="V31" s="288">
        <v>1</v>
      </c>
      <c r="W31" s="288">
        <v>1</v>
      </c>
      <c r="X31" s="288">
        <v>1</v>
      </c>
      <c r="Y31" s="288">
        <v>1</v>
      </c>
      <c r="Z31" s="288">
        <v>1</v>
      </c>
      <c r="AA31" s="288">
        <v>1</v>
      </c>
      <c r="AB31" s="289">
        <v>1</v>
      </c>
    </row>
    <row r="32" spans="1:28" ht="15" customHeight="1" thickBot="1">
      <c r="A32" s="273"/>
      <c r="B32" s="274" t="s">
        <v>170</v>
      </c>
      <c r="C32" s="275"/>
      <c r="D32" s="276"/>
      <c r="E32" s="290">
        <v>0</v>
      </c>
      <c r="F32" s="291">
        <v>0</v>
      </c>
      <c r="G32" s="291">
        <v>0</v>
      </c>
      <c r="H32" s="291">
        <v>0</v>
      </c>
      <c r="I32" s="291">
        <v>4</v>
      </c>
      <c r="J32" s="291">
        <v>31</v>
      </c>
      <c r="K32" s="291">
        <v>63</v>
      </c>
      <c r="L32" s="291">
        <v>93</v>
      </c>
      <c r="M32" s="291">
        <v>116</v>
      </c>
      <c r="N32" s="291">
        <v>130</v>
      </c>
      <c r="O32" s="291">
        <v>135</v>
      </c>
      <c r="P32" s="291">
        <v>157</v>
      </c>
      <c r="Q32" s="291">
        <v>264</v>
      </c>
      <c r="R32" s="291">
        <v>342</v>
      </c>
      <c r="S32" s="291">
        <v>349</v>
      </c>
      <c r="T32" s="291">
        <v>298</v>
      </c>
      <c r="U32" s="291">
        <v>207</v>
      </c>
      <c r="V32" s="291">
        <v>53</v>
      </c>
      <c r="W32" s="291">
        <v>0</v>
      </c>
      <c r="X32" s="291">
        <v>0</v>
      </c>
      <c r="Y32" s="291">
        <v>0</v>
      </c>
      <c r="Z32" s="291">
        <v>0</v>
      </c>
      <c r="AA32" s="291">
        <v>0</v>
      </c>
      <c r="AB32" s="292">
        <v>0</v>
      </c>
    </row>
    <row r="33" spans="1:28" ht="15" customHeight="1">
      <c r="A33" s="265" t="s">
        <v>73</v>
      </c>
      <c r="B33" s="266" t="s">
        <v>168</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171</v>
      </c>
      <c r="C34" s="271"/>
      <c r="D34" s="272"/>
      <c r="E34" s="287">
        <v>1</v>
      </c>
      <c r="F34" s="288">
        <v>1</v>
      </c>
      <c r="G34" s="288">
        <v>1</v>
      </c>
      <c r="H34" s="288">
        <v>1</v>
      </c>
      <c r="I34" s="288">
        <v>1</v>
      </c>
      <c r="J34" s="288">
        <v>1</v>
      </c>
      <c r="K34" s="288">
        <v>1</v>
      </c>
      <c r="L34" s="288">
        <v>1</v>
      </c>
      <c r="M34" s="288">
        <v>1</v>
      </c>
      <c r="N34" s="288">
        <v>1</v>
      </c>
      <c r="O34" s="288">
        <v>1</v>
      </c>
      <c r="P34" s="288">
        <v>1</v>
      </c>
      <c r="Q34" s="288">
        <v>1</v>
      </c>
      <c r="R34" s="288">
        <v>1</v>
      </c>
      <c r="S34" s="288">
        <v>1</v>
      </c>
      <c r="T34" s="288">
        <v>1</v>
      </c>
      <c r="U34" s="288">
        <v>1</v>
      </c>
      <c r="V34" s="288">
        <v>1</v>
      </c>
      <c r="W34" s="288">
        <v>1</v>
      </c>
      <c r="X34" s="288">
        <v>1</v>
      </c>
      <c r="Y34" s="288">
        <v>1</v>
      </c>
      <c r="Z34" s="288">
        <v>1</v>
      </c>
      <c r="AA34" s="288">
        <v>1</v>
      </c>
      <c r="AB34" s="289">
        <v>1</v>
      </c>
    </row>
    <row r="35" spans="1:28" ht="15" customHeight="1" thickBot="1">
      <c r="A35" s="273"/>
      <c r="B35" s="274" t="s">
        <v>170</v>
      </c>
      <c r="C35" s="275"/>
      <c r="D35" s="276"/>
      <c r="E35" s="290">
        <v>0</v>
      </c>
      <c r="F35" s="291">
        <v>0</v>
      </c>
      <c r="G35" s="291">
        <v>0</v>
      </c>
      <c r="H35" s="291">
        <v>0</v>
      </c>
      <c r="I35" s="291">
        <v>4</v>
      </c>
      <c r="J35" s="291">
        <v>31</v>
      </c>
      <c r="K35" s="291">
        <v>63</v>
      </c>
      <c r="L35" s="291">
        <v>93</v>
      </c>
      <c r="M35" s="291">
        <v>116</v>
      </c>
      <c r="N35" s="291">
        <v>130</v>
      </c>
      <c r="O35" s="291">
        <v>135</v>
      </c>
      <c r="P35" s="291">
        <v>136</v>
      </c>
      <c r="Q35" s="291">
        <v>148</v>
      </c>
      <c r="R35" s="291">
        <v>242</v>
      </c>
      <c r="S35" s="291">
        <v>308</v>
      </c>
      <c r="T35" s="291">
        <v>299</v>
      </c>
      <c r="U35" s="291">
        <v>232</v>
      </c>
      <c r="V35" s="291">
        <v>66</v>
      </c>
      <c r="W35" s="291">
        <v>0</v>
      </c>
      <c r="X35" s="291">
        <v>0</v>
      </c>
      <c r="Y35" s="291">
        <v>0</v>
      </c>
      <c r="Z35" s="291">
        <v>0</v>
      </c>
      <c r="AA35" s="291">
        <v>0</v>
      </c>
      <c r="AB35" s="292">
        <v>0</v>
      </c>
    </row>
    <row r="36" spans="1:28" ht="15" customHeight="1">
      <c r="A36" s="277" t="s">
        <v>74</v>
      </c>
      <c r="B36" s="266" t="s">
        <v>168</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171</v>
      </c>
      <c r="C37" s="271"/>
      <c r="D37" s="272"/>
      <c r="E37" s="287">
        <v>1</v>
      </c>
      <c r="F37" s="288">
        <v>1</v>
      </c>
      <c r="G37" s="288">
        <v>1</v>
      </c>
      <c r="H37" s="288">
        <v>1</v>
      </c>
      <c r="I37" s="288">
        <v>1</v>
      </c>
      <c r="J37" s="288">
        <v>1</v>
      </c>
      <c r="K37" s="288">
        <v>1</v>
      </c>
      <c r="L37" s="288">
        <v>1</v>
      </c>
      <c r="M37" s="288">
        <v>1</v>
      </c>
      <c r="N37" s="288">
        <v>1</v>
      </c>
      <c r="O37" s="288">
        <v>1</v>
      </c>
      <c r="P37" s="288">
        <v>1</v>
      </c>
      <c r="Q37" s="288">
        <v>1</v>
      </c>
      <c r="R37" s="288">
        <v>1</v>
      </c>
      <c r="S37" s="288">
        <v>1</v>
      </c>
      <c r="T37" s="288">
        <v>1</v>
      </c>
      <c r="U37" s="288">
        <v>1</v>
      </c>
      <c r="V37" s="288">
        <v>1</v>
      </c>
      <c r="W37" s="288">
        <v>1</v>
      </c>
      <c r="X37" s="288">
        <v>1</v>
      </c>
      <c r="Y37" s="288">
        <v>1</v>
      </c>
      <c r="Z37" s="288">
        <v>1</v>
      </c>
      <c r="AA37" s="288">
        <v>1</v>
      </c>
      <c r="AB37" s="289">
        <v>1</v>
      </c>
    </row>
    <row r="38" spans="1:28" ht="15" customHeight="1" thickBot="1">
      <c r="A38" s="279"/>
      <c r="B38" s="274" t="s">
        <v>170</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106</v>
      </c>
      <c r="U38" s="291">
        <v>112</v>
      </c>
      <c r="V38" s="291">
        <v>42</v>
      </c>
      <c r="W38" s="291">
        <v>0</v>
      </c>
      <c r="X38" s="291">
        <v>0</v>
      </c>
      <c r="Y38" s="291">
        <v>0</v>
      </c>
      <c r="Z38" s="291">
        <v>0</v>
      </c>
      <c r="AA38" s="291">
        <v>0</v>
      </c>
      <c r="AB38" s="292">
        <v>0</v>
      </c>
    </row>
    <row r="39" spans="1:28" ht="15" customHeight="1">
      <c r="A39" s="280" t="s">
        <v>172</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173</v>
      </c>
      <c r="B41" s="251" t="s">
        <v>164</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165</v>
      </c>
      <c r="B42" s="258" t="s">
        <v>166</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66</v>
      </c>
      <c r="B43" s="258" t="s">
        <v>167</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67</v>
      </c>
      <c r="B44" s="266" t="s">
        <v>168</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169</v>
      </c>
      <c r="C45" s="271"/>
      <c r="D45" s="272"/>
      <c r="E45" s="288">
        <v>1</v>
      </c>
      <c r="F45" s="288">
        <v>1</v>
      </c>
      <c r="G45" s="288">
        <v>1</v>
      </c>
      <c r="H45" s="288">
        <v>1</v>
      </c>
      <c r="I45" s="288">
        <v>1</v>
      </c>
      <c r="J45" s="288">
        <v>1</v>
      </c>
      <c r="K45" s="288">
        <v>1</v>
      </c>
      <c r="L45" s="288">
        <v>1</v>
      </c>
      <c r="M45" s="288">
        <v>1</v>
      </c>
      <c r="N45" s="288">
        <v>1</v>
      </c>
      <c r="O45" s="288">
        <v>1</v>
      </c>
      <c r="P45" s="288">
        <v>1</v>
      </c>
      <c r="Q45" s="288">
        <v>1</v>
      </c>
      <c r="R45" s="288">
        <v>1</v>
      </c>
      <c r="S45" s="288">
        <v>1</v>
      </c>
      <c r="T45" s="288">
        <v>1</v>
      </c>
      <c r="U45" s="288">
        <v>1</v>
      </c>
      <c r="V45" s="288">
        <v>1</v>
      </c>
      <c r="W45" s="288">
        <v>1</v>
      </c>
      <c r="X45" s="288">
        <v>1</v>
      </c>
      <c r="Y45" s="288">
        <v>1</v>
      </c>
      <c r="Z45" s="288">
        <v>1</v>
      </c>
      <c r="AA45" s="288">
        <v>1</v>
      </c>
      <c r="AB45" s="289">
        <v>1</v>
      </c>
    </row>
    <row r="46" spans="1:28" ht="15" customHeight="1" thickBot="1">
      <c r="A46" s="273"/>
      <c r="B46" s="274" t="s">
        <v>170</v>
      </c>
      <c r="C46" s="275"/>
      <c r="D46" s="276"/>
      <c r="E46" s="291">
        <v>0</v>
      </c>
      <c r="F46" s="291">
        <v>0</v>
      </c>
      <c r="G46" s="291">
        <v>0</v>
      </c>
      <c r="H46" s="291">
        <v>0</v>
      </c>
      <c r="I46" s="291">
        <v>55</v>
      </c>
      <c r="J46" s="291">
        <v>233</v>
      </c>
      <c r="K46" s="291">
        <v>253</v>
      </c>
      <c r="L46" s="291">
        <v>208</v>
      </c>
      <c r="M46" s="291">
        <v>133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68</v>
      </c>
      <c r="B47" s="266" t="s">
        <v>168</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169</v>
      </c>
      <c r="C48" s="271"/>
      <c r="D48" s="272"/>
      <c r="E48" s="288">
        <v>1</v>
      </c>
      <c r="F48" s="288">
        <v>1</v>
      </c>
      <c r="G48" s="288">
        <v>1</v>
      </c>
      <c r="H48" s="288">
        <v>1</v>
      </c>
      <c r="I48" s="288">
        <v>1</v>
      </c>
      <c r="J48" s="288">
        <v>1</v>
      </c>
      <c r="K48" s="288">
        <v>1</v>
      </c>
      <c r="L48" s="288">
        <v>1</v>
      </c>
      <c r="M48" s="288">
        <v>1</v>
      </c>
      <c r="N48" s="288">
        <v>1</v>
      </c>
      <c r="O48" s="288">
        <v>1</v>
      </c>
      <c r="P48" s="288">
        <v>1</v>
      </c>
      <c r="Q48" s="288">
        <v>1</v>
      </c>
      <c r="R48" s="288">
        <v>1</v>
      </c>
      <c r="S48" s="288">
        <v>1</v>
      </c>
      <c r="T48" s="288">
        <v>1</v>
      </c>
      <c r="U48" s="288">
        <v>1</v>
      </c>
      <c r="V48" s="288">
        <v>1</v>
      </c>
      <c r="W48" s="288">
        <v>1</v>
      </c>
      <c r="X48" s="288">
        <v>1</v>
      </c>
      <c r="Y48" s="288">
        <v>1</v>
      </c>
      <c r="Z48" s="288">
        <v>1</v>
      </c>
      <c r="AA48" s="288">
        <v>1</v>
      </c>
      <c r="AB48" s="289">
        <v>1</v>
      </c>
    </row>
    <row r="49" spans="1:28" ht="15" customHeight="1" thickBot="1">
      <c r="A49" s="273"/>
      <c r="B49" s="274" t="s">
        <v>170</v>
      </c>
      <c r="C49" s="275"/>
      <c r="D49" s="276"/>
      <c r="E49" s="291">
        <v>0</v>
      </c>
      <c r="F49" s="291">
        <v>0</v>
      </c>
      <c r="G49" s="291">
        <v>0</v>
      </c>
      <c r="H49" s="291">
        <v>0</v>
      </c>
      <c r="I49" s="291">
        <v>80</v>
      </c>
      <c r="J49" s="291">
        <v>396</v>
      </c>
      <c r="K49" s="291">
        <v>505</v>
      </c>
      <c r="L49" s="291">
        <v>502</v>
      </c>
      <c r="M49" s="291">
        <v>414</v>
      </c>
      <c r="N49" s="291">
        <v>274</v>
      </c>
      <c r="O49" s="291">
        <v>129</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69</v>
      </c>
      <c r="B50" s="266" t="s">
        <v>168</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169</v>
      </c>
      <c r="C51" s="271"/>
      <c r="D51" s="272"/>
      <c r="E51" s="288">
        <v>1</v>
      </c>
      <c r="F51" s="288">
        <v>1</v>
      </c>
      <c r="G51" s="288">
        <v>1</v>
      </c>
      <c r="H51" s="288">
        <v>1</v>
      </c>
      <c r="I51" s="288">
        <v>1</v>
      </c>
      <c r="J51" s="288">
        <v>1</v>
      </c>
      <c r="K51" s="288">
        <v>1</v>
      </c>
      <c r="L51" s="288">
        <v>1</v>
      </c>
      <c r="M51" s="288">
        <v>1</v>
      </c>
      <c r="N51" s="288">
        <v>1</v>
      </c>
      <c r="O51" s="288">
        <v>1</v>
      </c>
      <c r="P51" s="288">
        <v>1</v>
      </c>
      <c r="Q51" s="288">
        <v>1</v>
      </c>
      <c r="R51" s="288">
        <v>1</v>
      </c>
      <c r="S51" s="288">
        <v>1</v>
      </c>
      <c r="T51" s="288">
        <v>1</v>
      </c>
      <c r="U51" s="288">
        <v>1</v>
      </c>
      <c r="V51" s="288">
        <v>1</v>
      </c>
      <c r="W51" s="288">
        <v>1</v>
      </c>
      <c r="X51" s="288">
        <v>1</v>
      </c>
      <c r="Y51" s="288">
        <v>1</v>
      </c>
      <c r="Z51" s="288">
        <v>1</v>
      </c>
      <c r="AA51" s="288">
        <v>1</v>
      </c>
      <c r="AB51" s="289">
        <v>1</v>
      </c>
    </row>
    <row r="52" spans="1:28" ht="15" customHeight="1" thickBot="1">
      <c r="A52" s="273"/>
      <c r="B52" s="274" t="s">
        <v>170</v>
      </c>
      <c r="C52" s="275"/>
      <c r="D52" s="276"/>
      <c r="E52" s="291">
        <v>0</v>
      </c>
      <c r="F52" s="291">
        <v>0</v>
      </c>
      <c r="G52" s="291">
        <v>0</v>
      </c>
      <c r="H52" s="291">
        <v>0</v>
      </c>
      <c r="I52" s="291">
        <v>56</v>
      </c>
      <c r="J52" s="291">
        <v>325</v>
      </c>
      <c r="K52" s="291">
        <v>471</v>
      </c>
      <c r="L52" s="291">
        <v>527</v>
      </c>
      <c r="M52" s="291">
        <v>498</v>
      </c>
      <c r="N52" s="291">
        <v>406</v>
      </c>
      <c r="O52" s="291">
        <v>263</v>
      </c>
      <c r="P52" s="291">
        <v>127</v>
      </c>
      <c r="Q52" s="291">
        <v>112</v>
      </c>
      <c r="R52" s="291">
        <v>109</v>
      </c>
      <c r="S52" s="291">
        <v>98</v>
      </c>
      <c r="T52" s="291">
        <v>76</v>
      </c>
      <c r="U52" s="291">
        <v>51</v>
      </c>
      <c r="V52" s="291">
        <v>21</v>
      </c>
      <c r="W52" s="291">
        <v>1</v>
      </c>
      <c r="X52" s="291">
        <v>0</v>
      </c>
      <c r="Y52" s="291">
        <v>0</v>
      </c>
      <c r="Z52" s="291">
        <v>0</v>
      </c>
      <c r="AA52" s="291">
        <v>0</v>
      </c>
      <c r="AB52" s="292">
        <v>0</v>
      </c>
    </row>
    <row r="53" spans="1:28" ht="15" customHeight="1">
      <c r="A53" s="265" t="s">
        <v>70</v>
      </c>
      <c r="B53" s="266" t="s">
        <v>168</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169</v>
      </c>
      <c r="C54" s="271"/>
      <c r="D54" s="272"/>
      <c r="E54" s="288">
        <v>1</v>
      </c>
      <c r="F54" s="288">
        <v>1</v>
      </c>
      <c r="G54" s="288">
        <v>1</v>
      </c>
      <c r="H54" s="288">
        <v>1</v>
      </c>
      <c r="I54" s="288">
        <v>1</v>
      </c>
      <c r="J54" s="288">
        <v>1</v>
      </c>
      <c r="K54" s="288">
        <v>1</v>
      </c>
      <c r="L54" s="288">
        <v>1</v>
      </c>
      <c r="M54" s="288">
        <v>1</v>
      </c>
      <c r="N54" s="288">
        <v>1</v>
      </c>
      <c r="O54" s="288">
        <v>1</v>
      </c>
      <c r="P54" s="288">
        <v>1</v>
      </c>
      <c r="Q54" s="288">
        <v>1</v>
      </c>
      <c r="R54" s="288">
        <v>1</v>
      </c>
      <c r="S54" s="288">
        <v>1</v>
      </c>
      <c r="T54" s="288">
        <v>1</v>
      </c>
      <c r="U54" s="288">
        <v>1</v>
      </c>
      <c r="V54" s="288">
        <v>1</v>
      </c>
      <c r="W54" s="288">
        <v>1</v>
      </c>
      <c r="X54" s="288">
        <v>1</v>
      </c>
      <c r="Y54" s="288">
        <v>1</v>
      </c>
      <c r="Z54" s="288">
        <v>1</v>
      </c>
      <c r="AA54" s="288">
        <v>1</v>
      </c>
      <c r="AB54" s="289">
        <v>1</v>
      </c>
    </row>
    <row r="55" spans="1:28" ht="15" customHeight="1" thickBot="1">
      <c r="A55" s="273"/>
      <c r="B55" s="274" t="s">
        <v>170</v>
      </c>
      <c r="C55" s="275"/>
      <c r="D55" s="276"/>
      <c r="E55" s="291">
        <v>0</v>
      </c>
      <c r="F55" s="291">
        <v>0</v>
      </c>
      <c r="G55" s="291">
        <v>0</v>
      </c>
      <c r="H55" s="291">
        <v>0</v>
      </c>
      <c r="I55" s="291">
        <v>6</v>
      </c>
      <c r="J55" s="291">
        <v>35</v>
      </c>
      <c r="K55" s="291">
        <v>62</v>
      </c>
      <c r="L55" s="291">
        <v>171</v>
      </c>
      <c r="M55" s="291">
        <v>259</v>
      </c>
      <c r="N55" s="291">
        <v>299</v>
      </c>
      <c r="O55" s="291">
        <v>288</v>
      </c>
      <c r="P55" s="291">
        <v>237</v>
      </c>
      <c r="Q55" s="291">
        <v>166</v>
      </c>
      <c r="R55" s="291">
        <v>109</v>
      </c>
      <c r="S55" s="291">
        <v>98</v>
      </c>
      <c r="T55" s="291">
        <v>76</v>
      </c>
      <c r="U55" s="291">
        <v>51</v>
      </c>
      <c r="V55" s="291">
        <v>21</v>
      </c>
      <c r="W55" s="291">
        <v>0</v>
      </c>
      <c r="X55" s="291">
        <v>0</v>
      </c>
      <c r="Y55" s="291">
        <v>0</v>
      </c>
      <c r="Z55" s="291">
        <v>0</v>
      </c>
      <c r="AA55" s="291">
        <v>0</v>
      </c>
      <c r="AB55" s="292">
        <v>0</v>
      </c>
    </row>
    <row r="56" spans="1:28" ht="15" customHeight="1">
      <c r="A56" s="265" t="s">
        <v>71</v>
      </c>
      <c r="B56" s="266" t="s">
        <v>168</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169</v>
      </c>
      <c r="C57" s="271"/>
      <c r="D57" s="272"/>
      <c r="E57" s="288">
        <v>1</v>
      </c>
      <c r="F57" s="288">
        <v>1</v>
      </c>
      <c r="G57" s="288">
        <v>1</v>
      </c>
      <c r="H57" s="288">
        <v>1</v>
      </c>
      <c r="I57" s="288">
        <v>1</v>
      </c>
      <c r="J57" s="288">
        <v>1</v>
      </c>
      <c r="K57" s="288">
        <v>1</v>
      </c>
      <c r="L57" s="288">
        <v>1</v>
      </c>
      <c r="M57" s="288">
        <v>1</v>
      </c>
      <c r="N57" s="288">
        <v>1</v>
      </c>
      <c r="O57" s="288">
        <v>1</v>
      </c>
      <c r="P57" s="288">
        <v>1</v>
      </c>
      <c r="Q57" s="288">
        <v>1</v>
      </c>
      <c r="R57" s="288">
        <v>1</v>
      </c>
      <c r="S57" s="288">
        <v>1</v>
      </c>
      <c r="T57" s="288">
        <v>1</v>
      </c>
      <c r="U57" s="288">
        <v>1</v>
      </c>
      <c r="V57" s="288">
        <v>1</v>
      </c>
      <c r="W57" s="288">
        <v>1</v>
      </c>
      <c r="X57" s="288">
        <v>1</v>
      </c>
      <c r="Y57" s="288">
        <v>1</v>
      </c>
      <c r="Z57" s="288">
        <v>1</v>
      </c>
      <c r="AA57" s="288">
        <v>1</v>
      </c>
      <c r="AB57" s="289">
        <v>1</v>
      </c>
    </row>
    <row r="58" spans="1:28" ht="15" customHeight="1" thickBot="1">
      <c r="A58" s="273"/>
      <c r="B58" s="274" t="s">
        <v>170</v>
      </c>
      <c r="C58" s="275"/>
      <c r="D58" s="276"/>
      <c r="E58" s="291">
        <v>0</v>
      </c>
      <c r="F58" s="291">
        <v>0</v>
      </c>
      <c r="G58" s="291">
        <v>0</v>
      </c>
      <c r="H58" s="291">
        <v>0</v>
      </c>
      <c r="I58" s="291">
        <v>6</v>
      </c>
      <c r="J58" s="291">
        <v>35</v>
      </c>
      <c r="K58" s="291">
        <v>62</v>
      </c>
      <c r="L58" s="291">
        <v>87</v>
      </c>
      <c r="M58" s="291">
        <v>103</v>
      </c>
      <c r="N58" s="291">
        <v>110</v>
      </c>
      <c r="O58" s="291">
        <v>155</v>
      </c>
      <c r="P58" s="291">
        <v>254</v>
      </c>
      <c r="Q58" s="291">
        <v>320</v>
      </c>
      <c r="R58" s="291">
        <v>334</v>
      </c>
      <c r="S58" s="291">
        <v>301</v>
      </c>
      <c r="T58" s="291">
        <v>222</v>
      </c>
      <c r="U58" s="291">
        <v>130</v>
      </c>
      <c r="V58" s="291">
        <v>32</v>
      </c>
      <c r="W58" s="291">
        <v>0</v>
      </c>
      <c r="X58" s="291">
        <v>0</v>
      </c>
      <c r="Y58" s="291">
        <v>0</v>
      </c>
      <c r="Z58" s="291">
        <v>0</v>
      </c>
      <c r="AA58" s="291">
        <v>0</v>
      </c>
      <c r="AB58" s="292">
        <v>0</v>
      </c>
    </row>
    <row r="59" spans="1:28" ht="15" customHeight="1">
      <c r="A59" s="265" t="s">
        <v>72</v>
      </c>
      <c r="B59" s="266" t="s">
        <v>168</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169</v>
      </c>
      <c r="C60" s="271"/>
      <c r="D60" s="272"/>
      <c r="E60" s="288">
        <v>1</v>
      </c>
      <c r="F60" s="288">
        <v>1</v>
      </c>
      <c r="G60" s="288">
        <v>1</v>
      </c>
      <c r="H60" s="288">
        <v>1</v>
      </c>
      <c r="I60" s="288">
        <v>1</v>
      </c>
      <c r="J60" s="288">
        <v>1</v>
      </c>
      <c r="K60" s="288">
        <v>1</v>
      </c>
      <c r="L60" s="288">
        <v>1</v>
      </c>
      <c r="M60" s="288">
        <v>1</v>
      </c>
      <c r="N60" s="288">
        <v>1</v>
      </c>
      <c r="O60" s="288">
        <v>1</v>
      </c>
      <c r="P60" s="288">
        <v>1</v>
      </c>
      <c r="Q60" s="288">
        <v>1</v>
      </c>
      <c r="R60" s="288">
        <v>1</v>
      </c>
      <c r="S60" s="288">
        <v>1</v>
      </c>
      <c r="T60" s="288">
        <v>1</v>
      </c>
      <c r="U60" s="288">
        <v>1</v>
      </c>
      <c r="V60" s="288">
        <v>1</v>
      </c>
      <c r="W60" s="288">
        <v>1</v>
      </c>
      <c r="X60" s="288">
        <v>1</v>
      </c>
      <c r="Y60" s="288">
        <v>1</v>
      </c>
      <c r="Z60" s="288">
        <v>1</v>
      </c>
      <c r="AA60" s="288">
        <v>1</v>
      </c>
      <c r="AB60" s="289">
        <v>1</v>
      </c>
    </row>
    <row r="61" spans="1:28" ht="15" customHeight="1" thickBot="1">
      <c r="A61" s="273"/>
      <c r="B61" s="274" t="s">
        <v>170</v>
      </c>
      <c r="C61" s="275"/>
      <c r="D61" s="276"/>
      <c r="E61" s="291">
        <v>0</v>
      </c>
      <c r="F61" s="291">
        <v>0</v>
      </c>
      <c r="G61" s="291">
        <v>0</v>
      </c>
      <c r="H61" s="291">
        <v>0</v>
      </c>
      <c r="I61" s="291">
        <v>6</v>
      </c>
      <c r="J61" s="291">
        <v>35</v>
      </c>
      <c r="K61" s="291">
        <v>62</v>
      </c>
      <c r="L61" s="291">
        <v>87</v>
      </c>
      <c r="M61" s="291">
        <v>103</v>
      </c>
      <c r="N61" s="291">
        <v>110</v>
      </c>
      <c r="O61" s="291">
        <v>111</v>
      </c>
      <c r="P61" s="291">
        <v>142</v>
      </c>
      <c r="Q61" s="291">
        <v>312</v>
      </c>
      <c r="R61" s="291">
        <v>452</v>
      </c>
      <c r="S61" s="291">
        <v>516</v>
      </c>
      <c r="T61" s="291">
        <v>494</v>
      </c>
      <c r="U61" s="291">
        <v>418</v>
      </c>
      <c r="V61" s="291">
        <v>197</v>
      </c>
      <c r="W61" s="291">
        <v>2</v>
      </c>
      <c r="X61" s="291">
        <v>0</v>
      </c>
      <c r="Y61" s="291">
        <v>0</v>
      </c>
      <c r="Z61" s="291">
        <v>0</v>
      </c>
      <c r="AA61" s="291">
        <v>0</v>
      </c>
      <c r="AB61" s="292">
        <v>0</v>
      </c>
    </row>
    <row r="62" spans="1:28" ht="15" customHeight="1">
      <c r="A62" s="265" t="s">
        <v>73</v>
      </c>
      <c r="B62" s="266" t="s">
        <v>168</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169</v>
      </c>
      <c r="C63" s="271"/>
      <c r="D63" s="272"/>
      <c r="E63" s="288">
        <v>1</v>
      </c>
      <c r="F63" s="288">
        <v>1</v>
      </c>
      <c r="G63" s="288">
        <v>1</v>
      </c>
      <c r="H63" s="288">
        <v>1</v>
      </c>
      <c r="I63" s="288">
        <v>1</v>
      </c>
      <c r="J63" s="288">
        <v>1</v>
      </c>
      <c r="K63" s="288">
        <v>1</v>
      </c>
      <c r="L63" s="288">
        <v>1</v>
      </c>
      <c r="M63" s="288">
        <v>1</v>
      </c>
      <c r="N63" s="288">
        <v>1</v>
      </c>
      <c r="O63" s="288">
        <v>1</v>
      </c>
      <c r="P63" s="288">
        <v>1</v>
      </c>
      <c r="Q63" s="288">
        <v>1</v>
      </c>
      <c r="R63" s="288">
        <v>1</v>
      </c>
      <c r="S63" s="288">
        <v>1</v>
      </c>
      <c r="T63" s="288">
        <v>1</v>
      </c>
      <c r="U63" s="288">
        <v>1</v>
      </c>
      <c r="V63" s="288">
        <v>1</v>
      </c>
      <c r="W63" s="288">
        <v>1</v>
      </c>
      <c r="X63" s="288">
        <v>1</v>
      </c>
      <c r="Y63" s="288">
        <v>1</v>
      </c>
      <c r="Z63" s="288">
        <v>1</v>
      </c>
      <c r="AA63" s="288">
        <v>1</v>
      </c>
      <c r="AB63" s="289">
        <v>1</v>
      </c>
    </row>
    <row r="64" spans="1:28" ht="15" customHeight="1" thickBot="1">
      <c r="A64" s="273"/>
      <c r="B64" s="274" t="s">
        <v>170</v>
      </c>
      <c r="C64" s="275"/>
      <c r="D64" s="276"/>
      <c r="E64" s="291">
        <v>0</v>
      </c>
      <c r="F64" s="291">
        <v>0</v>
      </c>
      <c r="G64" s="291">
        <v>0</v>
      </c>
      <c r="H64" s="291">
        <v>0</v>
      </c>
      <c r="I64" s="291">
        <v>6</v>
      </c>
      <c r="J64" s="291">
        <v>35</v>
      </c>
      <c r="K64" s="291">
        <v>62</v>
      </c>
      <c r="L64" s="291">
        <v>87</v>
      </c>
      <c r="M64" s="291">
        <v>103</v>
      </c>
      <c r="N64" s="291">
        <v>110</v>
      </c>
      <c r="O64" s="291">
        <v>111</v>
      </c>
      <c r="P64" s="291">
        <v>110</v>
      </c>
      <c r="Q64" s="291">
        <v>134</v>
      </c>
      <c r="R64" s="291">
        <v>295</v>
      </c>
      <c r="S64" s="291">
        <v>444</v>
      </c>
      <c r="T64" s="291">
        <v>495</v>
      </c>
      <c r="U64" s="291">
        <v>476</v>
      </c>
      <c r="V64" s="291">
        <v>256</v>
      </c>
      <c r="W64" s="291">
        <v>2</v>
      </c>
      <c r="X64" s="291">
        <v>0</v>
      </c>
      <c r="Y64" s="291">
        <v>0</v>
      </c>
      <c r="Z64" s="291">
        <v>0</v>
      </c>
      <c r="AA64" s="291">
        <v>0</v>
      </c>
      <c r="AB64" s="292">
        <v>0</v>
      </c>
    </row>
    <row r="65" spans="1:28" ht="15" customHeight="1">
      <c r="A65" s="277" t="s">
        <v>74</v>
      </c>
      <c r="B65" s="266" t="s">
        <v>168</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169</v>
      </c>
      <c r="C66" s="271"/>
      <c r="D66" s="272"/>
      <c r="E66" s="288">
        <v>1</v>
      </c>
      <c r="F66" s="288">
        <v>1</v>
      </c>
      <c r="G66" s="288">
        <v>1</v>
      </c>
      <c r="H66" s="288">
        <v>1</v>
      </c>
      <c r="I66" s="288">
        <v>1</v>
      </c>
      <c r="J66" s="288">
        <v>1</v>
      </c>
      <c r="K66" s="288">
        <v>1</v>
      </c>
      <c r="L66" s="288">
        <v>1</v>
      </c>
      <c r="M66" s="288">
        <v>1</v>
      </c>
      <c r="N66" s="288">
        <v>1</v>
      </c>
      <c r="O66" s="288">
        <v>1</v>
      </c>
      <c r="P66" s="288">
        <v>1</v>
      </c>
      <c r="Q66" s="288">
        <v>1</v>
      </c>
      <c r="R66" s="288">
        <v>1</v>
      </c>
      <c r="S66" s="288">
        <v>1</v>
      </c>
      <c r="T66" s="288">
        <v>1</v>
      </c>
      <c r="U66" s="288">
        <v>1</v>
      </c>
      <c r="V66" s="288">
        <v>1</v>
      </c>
      <c r="W66" s="288">
        <v>1</v>
      </c>
      <c r="X66" s="288">
        <v>1</v>
      </c>
      <c r="Y66" s="288">
        <v>1</v>
      </c>
      <c r="Z66" s="288">
        <v>1</v>
      </c>
      <c r="AA66" s="288">
        <v>1</v>
      </c>
      <c r="AB66" s="289">
        <v>1</v>
      </c>
    </row>
    <row r="67" spans="1:28" ht="15" customHeight="1" thickBot="1">
      <c r="A67" s="279"/>
      <c r="B67" s="274" t="s">
        <v>170</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125</v>
      </c>
      <c r="U67" s="291">
        <v>195</v>
      </c>
      <c r="V67" s="291">
        <v>147</v>
      </c>
      <c r="W67" s="291">
        <v>2</v>
      </c>
      <c r="X67" s="291">
        <v>0</v>
      </c>
      <c r="Y67" s="291">
        <v>0</v>
      </c>
      <c r="Z67" s="291">
        <v>0</v>
      </c>
      <c r="AA67" s="291">
        <v>0</v>
      </c>
      <c r="AB67" s="292">
        <v>0</v>
      </c>
    </row>
    <row r="68" spans="1:28" ht="15" customHeight="1">
      <c r="A68" s="39" t="s">
        <v>19</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173</v>
      </c>
      <c r="B70" s="251" t="s">
        <v>164</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165</v>
      </c>
      <c r="B71" s="258" t="s">
        <v>166</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66</v>
      </c>
      <c r="B72" s="258" t="s">
        <v>167</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67</v>
      </c>
      <c r="B73" s="266" t="s">
        <v>168</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169</v>
      </c>
      <c r="C74" s="271"/>
      <c r="D74" s="272"/>
      <c r="E74" s="288">
        <v>1</v>
      </c>
      <c r="F74" s="288">
        <v>1</v>
      </c>
      <c r="G74" s="288">
        <v>1</v>
      </c>
      <c r="H74" s="288">
        <v>1</v>
      </c>
      <c r="I74" s="288">
        <v>1</v>
      </c>
      <c r="J74" s="288">
        <v>1</v>
      </c>
      <c r="K74" s="288">
        <v>1</v>
      </c>
      <c r="L74" s="288">
        <v>1</v>
      </c>
      <c r="M74" s="288">
        <v>1</v>
      </c>
      <c r="N74" s="288">
        <v>1</v>
      </c>
      <c r="O74" s="288">
        <v>1</v>
      </c>
      <c r="P74" s="288">
        <v>1</v>
      </c>
      <c r="Q74" s="288">
        <v>1</v>
      </c>
      <c r="R74" s="288">
        <v>1</v>
      </c>
      <c r="S74" s="288">
        <v>1</v>
      </c>
      <c r="T74" s="288">
        <v>1</v>
      </c>
      <c r="U74" s="288">
        <v>1</v>
      </c>
      <c r="V74" s="288">
        <v>1</v>
      </c>
      <c r="W74" s="288">
        <v>1</v>
      </c>
      <c r="X74" s="288">
        <v>1</v>
      </c>
      <c r="Y74" s="288">
        <v>1</v>
      </c>
      <c r="Z74" s="288">
        <v>1</v>
      </c>
      <c r="AA74" s="288">
        <v>1</v>
      </c>
      <c r="AB74" s="289">
        <v>1</v>
      </c>
    </row>
    <row r="75" spans="1:28" ht="15" customHeight="1" thickBot="1">
      <c r="A75" s="273"/>
      <c r="B75" s="274" t="s">
        <v>170</v>
      </c>
      <c r="C75" s="275"/>
      <c r="D75" s="276"/>
      <c r="E75" s="291">
        <v>0</v>
      </c>
      <c r="F75" s="291">
        <v>0</v>
      </c>
      <c r="G75" s="291">
        <v>0</v>
      </c>
      <c r="H75" s="291">
        <v>0</v>
      </c>
      <c r="I75" s="291">
        <v>0</v>
      </c>
      <c r="J75" s="291">
        <v>114</v>
      </c>
      <c r="K75" s="291">
        <v>119</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68</v>
      </c>
      <c r="B76" s="266" t="s">
        <v>168</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169</v>
      </c>
      <c r="C77" s="271"/>
      <c r="D77" s="272"/>
      <c r="E77" s="288">
        <v>1</v>
      </c>
      <c r="F77" s="288">
        <v>1</v>
      </c>
      <c r="G77" s="288">
        <v>1</v>
      </c>
      <c r="H77" s="288">
        <v>1</v>
      </c>
      <c r="I77" s="288">
        <v>1</v>
      </c>
      <c r="J77" s="288">
        <v>1</v>
      </c>
      <c r="K77" s="288">
        <v>1</v>
      </c>
      <c r="L77" s="288">
        <v>1</v>
      </c>
      <c r="M77" s="288">
        <v>1</v>
      </c>
      <c r="N77" s="288">
        <v>1</v>
      </c>
      <c r="O77" s="288">
        <v>1</v>
      </c>
      <c r="P77" s="288">
        <v>1</v>
      </c>
      <c r="Q77" s="288">
        <v>1</v>
      </c>
      <c r="R77" s="288">
        <v>1</v>
      </c>
      <c r="S77" s="288">
        <v>1</v>
      </c>
      <c r="T77" s="288">
        <v>1</v>
      </c>
      <c r="U77" s="288">
        <v>1</v>
      </c>
      <c r="V77" s="288">
        <v>1</v>
      </c>
      <c r="W77" s="288">
        <v>1</v>
      </c>
      <c r="X77" s="288">
        <v>1</v>
      </c>
      <c r="Y77" s="288">
        <v>1</v>
      </c>
      <c r="Z77" s="288">
        <v>1</v>
      </c>
      <c r="AA77" s="288">
        <v>1</v>
      </c>
      <c r="AB77" s="289">
        <v>1</v>
      </c>
    </row>
    <row r="78" spans="1:28" ht="15" customHeight="1" thickBot="1">
      <c r="A78" s="273"/>
      <c r="B78" s="274" t="s">
        <v>170</v>
      </c>
      <c r="C78" s="275"/>
      <c r="D78" s="276"/>
      <c r="E78" s="291">
        <v>0</v>
      </c>
      <c r="F78" s="291">
        <v>0</v>
      </c>
      <c r="G78" s="291">
        <v>0</v>
      </c>
      <c r="H78" s="291">
        <v>0</v>
      </c>
      <c r="I78" s="291">
        <v>0</v>
      </c>
      <c r="J78" s="291">
        <v>294</v>
      </c>
      <c r="K78" s="291">
        <v>419</v>
      </c>
      <c r="L78" s="291">
        <v>420</v>
      </c>
      <c r="M78" s="291">
        <v>330</v>
      </c>
      <c r="N78" s="291">
        <v>187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69</v>
      </c>
      <c r="B79" s="266" t="s">
        <v>168</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169</v>
      </c>
      <c r="C80" s="271"/>
      <c r="D80" s="272"/>
      <c r="E80" s="288">
        <v>1</v>
      </c>
      <c r="F80" s="288">
        <v>1</v>
      </c>
      <c r="G80" s="288">
        <v>1</v>
      </c>
      <c r="H80" s="288">
        <v>1</v>
      </c>
      <c r="I80" s="288">
        <v>1</v>
      </c>
      <c r="J80" s="288">
        <v>1</v>
      </c>
      <c r="K80" s="288">
        <v>1</v>
      </c>
      <c r="L80" s="288">
        <v>1</v>
      </c>
      <c r="M80" s="288">
        <v>1</v>
      </c>
      <c r="N80" s="288">
        <v>1</v>
      </c>
      <c r="O80" s="288">
        <v>1</v>
      </c>
      <c r="P80" s="288">
        <v>1</v>
      </c>
      <c r="Q80" s="288">
        <v>1</v>
      </c>
      <c r="R80" s="288">
        <v>1</v>
      </c>
      <c r="S80" s="288">
        <v>1</v>
      </c>
      <c r="T80" s="288">
        <v>1</v>
      </c>
      <c r="U80" s="288">
        <v>1</v>
      </c>
      <c r="V80" s="288">
        <v>1</v>
      </c>
      <c r="W80" s="288">
        <v>1</v>
      </c>
      <c r="X80" s="288">
        <v>1</v>
      </c>
      <c r="Y80" s="288">
        <v>1</v>
      </c>
      <c r="Z80" s="288">
        <v>1</v>
      </c>
      <c r="AA80" s="288">
        <v>1</v>
      </c>
      <c r="AB80" s="289">
        <v>1</v>
      </c>
    </row>
    <row r="81" spans="1:28" ht="15" customHeight="1" thickBot="1">
      <c r="A81" s="273"/>
      <c r="B81" s="274" t="s">
        <v>170</v>
      </c>
      <c r="C81" s="275"/>
      <c r="D81" s="276"/>
      <c r="E81" s="291">
        <v>0</v>
      </c>
      <c r="F81" s="291">
        <v>0</v>
      </c>
      <c r="G81" s="291">
        <v>0</v>
      </c>
      <c r="H81" s="291">
        <v>0</v>
      </c>
      <c r="I81" s="291">
        <v>0</v>
      </c>
      <c r="J81" s="291">
        <v>301</v>
      </c>
      <c r="K81" s="291">
        <v>488</v>
      </c>
      <c r="L81" s="291">
        <v>566</v>
      </c>
      <c r="M81" s="291">
        <v>547</v>
      </c>
      <c r="N81" s="291">
        <v>453</v>
      </c>
      <c r="O81" s="291">
        <v>305</v>
      </c>
      <c r="P81" s="291">
        <v>141</v>
      </c>
      <c r="Q81" s="291">
        <v>98</v>
      </c>
      <c r="R81" s="291">
        <v>91</v>
      </c>
      <c r="S81" s="291">
        <v>78</v>
      </c>
      <c r="T81" s="291">
        <v>55</v>
      </c>
      <c r="U81" s="291">
        <v>24</v>
      </c>
      <c r="V81" s="291">
        <v>2</v>
      </c>
      <c r="W81" s="291">
        <v>0</v>
      </c>
      <c r="X81" s="291">
        <v>0</v>
      </c>
      <c r="Y81" s="291">
        <v>0</v>
      </c>
      <c r="Z81" s="291">
        <v>0</v>
      </c>
      <c r="AA81" s="291">
        <v>0</v>
      </c>
      <c r="AB81" s="292">
        <v>0</v>
      </c>
    </row>
    <row r="82" spans="1:28" ht="15" customHeight="1">
      <c r="A82" s="265" t="s">
        <v>70</v>
      </c>
      <c r="B82" s="266" t="s">
        <v>168</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169</v>
      </c>
      <c r="C83" s="271"/>
      <c r="D83" s="272"/>
      <c r="E83" s="288">
        <v>1</v>
      </c>
      <c r="F83" s="288">
        <v>1</v>
      </c>
      <c r="G83" s="288">
        <v>1</v>
      </c>
      <c r="H83" s="288">
        <v>1</v>
      </c>
      <c r="I83" s="288">
        <v>1</v>
      </c>
      <c r="J83" s="288">
        <v>1</v>
      </c>
      <c r="K83" s="288">
        <v>1</v>
      </c>
      <c r="L83" s="288">
        <v>1</v>
      </c>
      <c r="M83" s="288">
        <v>1</v>
      </c>
      <c r="N83" s="288">
        <v>1</v>
      </c>
      <c r="O83" s="288">
        <v>1</v>
      </c>
      <c r="P83" s="288">
        <v>1</v>
      </c>
      <c r="Q83" s="288">
        <v>1</v>
      </c>
      <c r="R83" s="288">
        <v>1</v>
      </c>
      <c r="S83" s="288">
        <v>1</v>
      </c>
      <c r="T83" s="288">
        <v>1</v>
      </c>
      <c r="U83" s="288">
        <v>1</v>
      </c>
      <c r="V83" s="288">
        <v>1</v>
      </c>
      <c r="W83" s="288">
        <v>1</v>
      </c>
      <c r="X83" s="288">
        <v>1</v>
      </c>
      <c r="Y83" s="288">
        <v>1</v>
      </c>
      <c r="Z83" s="288">
        <v>1</v>
      </c>
      <c r="AA83" s="288">
        <v>1</v>
      </c>
      <c r="AB83" s="289">
        <v>1</v>
      </c>
    </row>
    <row r="84" spans="1:28" ht="15" customHeight="1" thickBot="1">
      <c r="A84" s="273"/>
      <c r="B84" s="274" t="s">
        <v>170</v>
      </c>
      <c r="C84" s="275"/>
      <c r="D84" s="276"/>
      <c r="E84" s="291">
        <v>0</v>
      </c>
      <c r="F84" s="291">
        <v>0</v>
      </c>
      <c r="G84" s="291">
        <v>0</v>
      </c>
      <c r="H84" s="291">
        <v>0</v>
      </c>
      <c r="I84" s="291">
        <v>0</v>
      </c>
      <c r="J84" s="291">
        <v>61</v>
      </c>
      <c r="K84" s="291">
        <v>211</v>
      </c>
      <c r="L84" s="291">
        <v>356</v>
      </c>
      <c r="M84" s="291">
        <v>448</v>
      </c>
      <c r="N84" s="291">
        <v>478</v>
      </c>
      <c r="O84" s="291">
        <v>454</v>
      </c>
      <c r="P84" s="291">
        <v>384</v>
      </c>
      <c r="Q84" s="291">
        <v>281</v>
      </c>
      <c r="R84" s="291">
        <v>165</v>
      </c>
      <c r="S84" s="291">
        <v>78</v>
      </c>
      <c r="T84" s="291">
        <v>55</v>
      </c>
      <c r="U84" s="291">
        <v>24</v>
      </c>
      <c r="V84" s="291">
        <v>0</v>
      </c>
      <c r="W84" s="291">
        <v>0</v>
      </c>
      <c r="X84" s="291">
        <v>0</v>
      </c>
      <c r="Y84" s="291">
        <v>0</v>
      </c>
      <c r="Z84" s="291">
        <v>0</v>
      </c>
      <c r="AA84" s="291">
        <v>0</v>
      </c>
      <c r="AB84" s="292">
        <v>0</v>
      </c>
    </row>
    <row r="85" spans="1:28" ht="15" customHeight="1">
      <c r="A85" s="265" t="s">
        <v>71</v>
      </c>
      <c r="B85" s="266" t="s">
        <v>168</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169</v>
      </c>
      <c r="C86" s="271"/>
      <c r="D86" s="272"/>
      <c r="E86" s="288">
        <v>1</v>
      </c>
      <c r="F86" s="288">
        <v>1</v>
      </c>
      <c r="G86" s="288">
        <v>1</v>
      </c>
      <c r="H86" s="288">
        <v>1</v>
      </c>
      <c r="I86" s="288">
        <v>1</v>
      </c>
      <c r="J86" s="288">
        <v>1</v>
      </c>
      <c r="K86" s="288">
        <v>1</v>
      </c>
      <c r="L86" s="288">
        <v>1</v>
      </c>
      <c r="M86" s="288">
        <v>1</v>
      </c>
      <c r="N86" s="288">
        <v>1</v>
      </c>
      <c r="O86" s="288">
        <v>1</v>
      </c>
      <c r="P86" s="288">
        <v>1</v>
      </c>
      <c r="Q86" s="288">
        <v>1</v>
      </c>
      <c r="R86" s="288">
        <v>1</v>
      </c>
      <c r="S86" s="288">
        <v>1</v>
      </c>
      <c r="T86" s="288">
        <v>1</v>
      </c>
      <c r="U86" s="288">
        <v>1</v>
      </c>
      <c r="V86" s="288">
        <v>1</v>
      </c>
      <c r="W86" s="288">
        <v>1</v>
      </c>
      <c r="X86" s="288">
        <v>1</v>
      </c>
      <c r="Y86" s="288">
        <v>1</v>
      </c>
      <c r="Z86" s="288">
        <v>1</v>
      </c>
      <c r="AA86" s="288">
        <v>1</v>
      </c>
      <c r="AB86" s="289">
        <v>1</v>
      </c>
    </row>
    <row r="87" spans="1:28" ht="15" customHeight="1" thickBot="1">
      <c r="A87" s="273"/>
      <c r="B87" s="274" t="s">
        <v>170</v>
      </c>
      <c r="C87" s="275"/>
      <c r="D87" s="276"/>
      <c r="E87" s="291">
        <v>0</v>
      </c>
      <c r="F87" s="291">
        <v>0</v>
      </c>
      <c r="G87" s="291">
        <v>0</v>
      </c>
      <c r="H87" s="291">
        <v>0</v>
      </c>
      <c r="I87" s="291">
        <v>0</v>
      </c>
      <c r="J87" s="291">
        <v>19</v>
      </c>
      <c r="K87" s="291">
        <v>47</v>
      </c>
      <c r="L87" s="291">
        <v>72</v>
      </c>
      <c r="M87" s="291">
        <v>88</v>
      </c>
      <c r="N87" s="291">
        <v>170</v>
      </c>
      <c r="O87" s="291">
        <v>327</v>
      </c>
      <c r="P87" s="291">
        <v>436</v>
      </c>
      <c r="Q87" s="291">
        <v>480</v>
      </c>
      <c r="R87" s="291">
        <v>473</v>
      </c>
      <c r="S87" s="291">
        <v>403</v>
      </c>
      <c r="T87" s="291">
        <v>276</v>
      </c>
      <c r="U87" s="291">
        <v>131</v>
      </c>
      <c r="V87" s="291">
        <v>0</v>
      </c>
      <c r="W87" s="291">
        <v>0</v>
      </c>
      <c r="X87" s="291">
        <v>0</v>
      </c>
      <c r="Y87" s="291">
        <v>0</v>
      </c>
      <c r="Z87" s="291">
        <v>0</v>
      </c>
      <c r="AA87" s="291">
        <v>0</v>
      </c>
      <c r="AB87" s="292">
        <v>0</v>
      </c>
    </row>
    <row r="88" spans="1:28" ht="15" customHeight="1">
      <c r="A88" s="265" t="s">
        <v>72</v>
      </c>
      <c r="B88" s="266" t="s">
        <v>168</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171</v>
      </c>
      <c r="C89" s="271"/>
      <c r="D89" s="272"/>
      <c r="E89" s="288">
        <v>1</v>
      </c>
      <c r="F89" s="288">
        <v>1</v>
      </c>
      <c r="G89" s="288">
        <v>1</v>
      </c>
      <c r="H89" s="288">
        <v>1</v>
      </c>
      <c r="I89" s="288">
        <v>1</v>
      </c>
      <c r="J89" s="288">
        <v>1</v>
      </c>
      <c r="K89" s="288">
        <v>1</v>
      </c>
      <c r="L89" s="288">
        <v>1</v>
      </c>
      <c r="M89" s="288">
        <v>1</v>
      </c>
      <c r="N89" s="288">
        <v>1</v>
      </c>
      <c r="O89" s="288">
        <v>1</v>
      </c>
      <c r="P89" s="288">
        <v>1</v>
      </c>
      <c r="Q89" s="288">
        <v>1</v>
      </c>
      <c r="R89" s="288">
        <v>1</v>
      </c>
      <c r="S89" s="288">
        <v>1</v>
      </c>
      <c r="T89" s="288">
        <v>1</v>
      </c>
      <c r="U89" s="288">
        <v>1</v>
      </c>
      <c r="V89" s="288">
        <v>1</v>
      </c>
      <c r="W89" s="288">
        <v>1</v>
      </c>
      <c r="X89" s="288">
        <v>1</v>
      </c>
      <c r="Y89" s="288">
        <v>1</v>
      </c>
      <c r="Z89" s="288">
        <v>1</v>
      </c>
      <c r="AA89" s="288">
        <v>1</v>
      </c>
      <c r="AB89" s="289">
        <v>1</v>
      </c>
    </row>
    <row r="90" spans="1:28" ht="15" customHeight="1" thickBot="1">
      <c r="A90" s="273"/>
      <c r="B90" s="274" t="s">
        <v>170</v>
      </c>
      <c r="C90" s="275"/>
      <c r="D90" s="276"/>
      <c r="E90" s="291">
        <v>0</v>
      </c>
      <c r="F90" s="291">
        <v>0</v>
      </c>
      <c r="G90" s="291">
        <v>0</v>
      </c>
      <c r="H90" s="291">
        <v>0</v>
      </c>
      <c r="I90" s="291">
        <v>0</v>
      </c>
      <c r="J90" s="291">
        <v>19</v>
      </c>
      <c r="K90" s="291">
        <v>47</v>
      </c>
      <c r="L90" s="291">
        <v>72</v>
      </c>
      <c r="M90" s="291">
        <v>88</v>
      </c>
      <c r="N90" s="291">
        <v>97</v>
      </c>
      <c r="O90" s="291">
        <v>101</v>
      </c>
      <c r="P90" s="291">
        <v>199</v>
      </c>
      <c r="Q90" s="291">
        <v>402</v>
      </c>
      <c r="R90" s="291">
        <v>534</v>
      </c>
      <c r="S90" s="291">
        <v>563</v>
      </c>
      <c r="T90" s="291">
        <v>474</v>
      </c>
      <c r="U90" s="291">
        <v>291</v>
      </c>
      <c r="V90" s="291">
        <v>3</v>
      </c>
      <c r="W90" s="291">
        <v>0</v>
      </c>
      <c r="X90" s="291">
        <v>0</v>
      </c>
      <c r="Y90" s="291">
        <v>0</v>
      </c>
      <c r="Z90" s="291">
        <v>0</v>
      </c>
      <c r="AA90" s="291">
        <v>0</v>
      </c>
      <c r="AB90" s="292">
        <v>0</v>
      </c>
    </row>
    <row r="91" spans="1:28" ht="15" customHeight="1">
      <c r="A91" s="265" t="s">
        <v>73</v>
      </c>
      <c r="B91" s="266" t="s">
        <v>168</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169</v>
      </c>
      <c r="C92" s="271"/>
      <c r="D92" s="272"/>
      <c r="E92" s="288">
        <v>1</v>
      </c>
      <c r="F92" s="288">
        <v>1</v>
      </c>
      <c r="G92" s="288">
        <v>1</v>
      </c>
      <c r="H92" s="288">
        <v>1</v>
      </c>
      <c r="I92" s="288">
        <v>1</v>
      </c>
      <c r="J92" s="288">
        <v>1</v>
      </c>
      <c r="K92" s="288">
        <v>1</v>
      </c>
      <c r="L92" s="288">
        <v>1</v>
      </c>
      <c r="M92" s="288">
        <v>1</v>
      </c>
      <c r="N92" s="288">
        <v>1</v>
      </c>
      <c r="O92" s="288">
        <v>1</v>
      </c>
      <c r="P92" s="288">
        <v>1</v>
      </c>
      <c r="Q92" s="288">
        <v>1</v>
      </c>
      <c r="R92" s="288">
        <v>1</v>
      </c>
      <c r="S92" s="288">
        <v>1</v>
      </c>
      <c r="T92" s="288">
        <v>1</v>
      </c>
      <c r="U92" s="288">
        <v>1</v>
      </c>
      <c r="V92" s="288">
        <v>1</v>
      </c>
      <c r="W92" s="288">
        <v>1</v>
      </c>
      <c r="X92" s="288">
        <v>1</v>
      </c>
      <c r="Y92" s="288">
        <v>1</v>
      </c>
      <c r="Z92" s="288">
        <v>1</v>
      </c>
      <c r="AA92" s="288">
        <v>1</v>
      </c>
      <c r="AB92" s="289">
        <v>1</v>
      </c>
    </row>
    <row r="93" spans="1:28" ht="15" customHeight="1" thickBot="1">
      <c r="A93" s="273"/>
      <c r="B93" s="274" t="s">
        <v>170</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224</v>
      </c>
      <c r="S93" s="291">
        <v>378</v>
      </c>
      <c r="T93" s="291">
        <v>397</v>
      </c>
      <c r="U93" s="291">
        <v>282</v>
      </c>
      <c r="V93" s="291">
        <v>3</v>
      </c>
      <c r="W93" s="291">
        <v>0</v>
      </c>
      <c r="X93" s="291">
        <v>0</v>
      </c>
      <c r="Y93" s="291">
        <v>0</v>
      </c>
      <c r="Z93" s="291">
        <v>0</v>
      </c>
      <c r="AA93" s="291">
        <v>0</v>
      </c>
      <c r="AB93" s="292">
        <v>0</v>
      </c>
    </row>
    <row r="94" spans="1:28" ht="15" customHeight="1">
      <c r="A94" s="277" t="s">
        <v>74</v>
      </c>
      <c r="B94" s="266" t="s">
        <v>168</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169</v>
      </c>
      <c r="C95" s="271"/>
      <c r="D95" s="272"/>
      <c r="E95" s="288">
        <v>1</v>
      </c>
      <c r="F95" s="288">
        <v>1</v>
      </c>
      <c r="G95" s="288">
        <v>1</v>
      </c>
      <c r="H95" s="288">
        <v>1</v>
      </c>
      <c r="I95" s="288">
        <v>1</v>
      </c>
      <c r="J95" s="288">
        <v>1</v>
      </c>
      <c r="K95" s="288">
        <v>1</v>
      </c>
      <c r="L95" s="288">
        <v>1</v>
      </c>
      <c r="M95" s="288">
        <v>1</v>
      </c>
      <c r="N95" s="288">
        <v>1</v>
      </c>
      <c r="O95" s="288">
        <v>1</v>
      </c>
      <c r="P95" s="288">
        <v>1</v>
      </c>
      <c r="Q95" s="288">
        <v>1</v>
      </c>
      <c r="R95" s="288">
        <v>1</v>
      </c>
      <c r="S95" s="288">
        <v>1</v>
      </c>
      <c r="T95" s="288">
        <v>1</v>
      </c>
      <c r="U95" s="288">
        <v>1</v>
      </c>
      <c r="V95" s="288">
        <v>1</v>
      </c>
      <c r="W95" s="288">
        <v>1</v>
      </c>
      <c r="X95" s="288">
        <v>1</v>
      </c>
      <c r="Y95" s="288">
        <v>1</v>
      </c>
      <c r="Z95" s="288">
        <v>1</v>
      </c>
      <c r="AA95" s="288">
        <v>1</v>
      </c>
      <c r="AB95" s="289">
        <v>1</v>
      </c>
    </row>
    <row r="96" spans="1:28" ht="15" customHeight="1" thickBot="1">
      <c r="A96" s="279"/>
      <c r="B96" s="274" t="s">
        <v>170</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39</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184</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151</v>
      </c>
      <c r="C3" s="235" t="s">
        <v>22</v>
      </c>
      <c r="D3" s="235"/>
      <c r="E3" s="61"/>
      <c r="F3" s="61"/>
      <c r="O3" s="61"/>
      <c r="P3" s="61"/>
      <c r="Q3" s="61"/>
      <c r="R3" s="61"/>
      <c r="S3" s="61"/>
      <c r="T3" s="61"/>
      <c r="U3" s="61"/>
      <c r="V3" s="234"/>
      <c r="W3" s="54" t="s">
        <v>152</v>
      </c>
    </row>
    <row r="4" spans="1:28" ht="15" customHeight="1">
      <c r="A4" s="108" t="s">
        <v>153</v>
      </c>
      <c r="C4" s="235" t="s">
        <v>185</v>
      </c>
      <c r="D4" s="235"/>
      <c r="E4" s="61"/>
      <c r="F4" s="61"/>
      <c r="O4" s="236" t="s">
        <v>154</v>
      </c>
      <c r="P4" s="237"/>
      <c r="Q4" s="237"/>
      <c r="R4" s="237"/>
      <c r="S4" s="237"/>
      <c r="T4" s="237"/>
      <c r="U4" s="238"/>
      <c r="V4" s="234"/>
      <c r="W4" s="178" t="s">
        <v>176</v>
      </c>
    </row>
    <row r="5" spans="1:28" ht="15" customHeight="1">
      <c r="O5" s="239" t="s">
        <v>73</v>
      </c>
      <c r="P5" s="240" t="s">
        <v>155</v>
      </c>
      <c r="Q5" s="240" t="s">
        <v>156</v>
      </c>
      <c r="R5" s="240" t="s">
        <v>157</v>
      </c>
      <c r="S5" s="240" t="s">
        <v>158</v>
      </c>
      <c r="T5" s="240" t="s">
        <v>159</v>
      </c>
      <c r="U5" s="241" t="s">
        <v>160</v>
      </c>
      <c r="W5" s="178" t="s">
        <v>177</v>
      </c>
    </row>
    <row r="6" spans="1:28" ht="15" customHeight="1">
      <c r="O6" s="242">
        <v>2200</v>
      </c>
      <c r="P6" s="243">
        <v>2200</v>
      </c>
      <c r="Q6" s="243">
        <v>5600</v>
      </c>
      <c r="R6" s="243">
        <v>3600</v>
      </c>
      <c r="S6" s="243">
        <v>3400</v>
      </c>
      <c r="T6" s="243">
        <v>1500</v>
      </c>
      <c r="U6" s="244">
        <v>1200</v>
      </c>
      <c r="W6" s="178" t="s">
        <v>178</v>
      </c>
    </row>
    <row r="7" spans="1:28" ht="15" customHeight="1">
      <c r="Q7" s="234"/>
      <c r="R7" s="234"/>
      <c r="S7" s="234"/>
      <c r="T7" s="234"/>
      <c r="U7" s="234"/>
      <c r="W7" s="178" t="s">
        <v>179</v>
      </c>
    </row>
    <row r="8" spans="1:28" ht="15" customHeight="1">
      <c r="P8" s="234"/>
      <c r="Q8" s="234"/>
      <c r="R8" s="234"/>
      <c r="S8" s="234"/>
      <c r="T8" s="234"/>
      <c r="U8" s="234"/>
      <c r="W8" s="178" t="s">
        <v>180</v>
      </c>
    </row>
    <row r="9" spans="1:28" ht="15" customHeight="1" thickBot="1">
      <c r="G9" s="54" t="s">
        <v>161</v>
      </c>
      <c r="L9" s="54" t="s">
        <v>162</v>
      </c>
      <c r="P9" s="234"/>
      <c r="Q9" s="234"/>
      <c r="R9" s="234"/>
      <c r="S9" s="234"/>
      <c r="T9" s="234"/>
      <c r="U9" s="234"/>
      <c r="W9" s="83" t="s">
        <v>181</v>
      </c>
    </row>
    <row r="10" spans="1:28" ht="15" customHeight="1">
      <c r="A10" s="245" t="s">
        <v>17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163</v>
      </c>
      <c r="B12" s="251" t="s">
        <v>164</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165</v>
      </c>
      <c r="B13" s="258" t="s">
        <v>166</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66</v>
      </c>
      <c r="B14" s="258" t="s">
        <v>167</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67</v>
      </c>
      <c r="B15" s="266" t="s">
        <v>168</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169</v>
      </c>
      <c r="C16" s="271"/>
      <c r="D16" s="272"/>
      <c r="E16" s="287">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9">
        <v>0</v>
      </c>
    </row>
    <row r="17" spans="1:28" ht="15" customHeight="1" thickBot="1">
      <c r="A17" s="273"/>
      <c r="B17" s="274" t="s">
        <v>170</v>
      </c>
      <c r="C17" s="275"/>
      <c r="D17" s="276"/>
      <c r="E17" s="290">
        <v>0</v>
      </c>
      <c r="F17" s="291">
        <v>0</v>
      </c>
      <c r="G17" s="291">
        <v>0</v>
      </c>
      <c r="H17" s="291">
        <v>0</v>
      </c>
      <c r="I17" s="291">
        <v>4</v>
      </c>
      <c r="J17" s="291">
        <v>31</v>
      </c>
      <c r="K17" s="291">
        <v>63</v>
      </c>
      <c r="L17" s="291">
        <v>93</v>
      </c>
      <c r="M17" s="291">
        <v>116</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68</v>
      </c>
      <c r="B18" s="266" t="s">
        <v>168</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169</v>
      </c>
      <c r="C19" s="271"/>
      <c r="D19" s="272"/>
      <c r="E19" s="287">
        <v>0</v>
      </c>
      <c r="F19" s="288">
        <v>0</v>
      </c>
      <c r="G19" s="288">
        <v>0</v>
      </c>
      <c r="H19" s="288">
        <v>0</v>
      </c>
      <c r="I19" s="288">
        <v>1</v>
      </c>
      <c r="J19" s="288">
        <v>1</v>
      </c>
      <c r="K19" s="288">
        <v>0.73299999999999998</v>
      </c>
      <c r="L19" s="288">
        <v>0.193</v>
      </c>
      <c r="M19" s="288">
        <v>0</v>
      </c>
      <c r="N19" s="288">
        <v>0</v>
      </c>
      <c r="O19" s="288">
        <v>0</v>
      </c>
      <c r="P19" s="288">
        <v>0</v>
      </c>
      <c r="Q19" s="288">
        <v>0</v>
      </c>
      <c r="R19" s="288">
        <v>0</v>
      </c>
      <c r="S19" s="288">
        <v>0</v>
      </c>
      <c r="T19" s="288">
        <v>0</v>
      </c>
      <c r="U19" s="288">
        <v>0</v>
      </c>
      <c r="V19" s="288">
        <v>0</v>
      </c>
      <c r="W19" s="288">
        <v>0</v>
      </c>
      <c r="X19" s="288">
        <v>0</v>
      </c>
      <c r="Y19" s="288">
        <v>0</v>
      </c>
      <c r="Z19" s="288">
        <v>0</v>
      </c>
      <c r="AA19" s="288">
        <v>0</v>
      </c>
      <c r="AB19" s="289">
        <v>0</v>
      </c>
    </row>
    <row r="20" spans="1:28" ht="15" customHeight="1" thickBot="1">
      <c r="A20" s="273"/>
      <c r="B20" s="274" t="s">
        <v>170</v>
      </c>
      <c r="C20" s="275"/>
      <c r="D20" s="276"/>
      <c r="E20" s="290">
        <v>0</v>
      </c>
      <c r="F20" s="291">
        <v>0</v>
      </c>
      <c r="G20" s="291">
        <v>0</v>
      </c>
      <c r="H20" s="291">
        <v>0</v>
      </c>
      <c r="I20" s="291">
        <v>22</v>
      </c>
      <c r="J20" s="291">
        <v>194</v>
      </c>
      <c r="K20" s="291">
        <v>206</v>
      </c>
      <c r="L20" s="291">
        <v>135</v>
      </c>
      <c r="M20" s="291">
        <v>116</v>
      </c>
      <c r="N20" s="291">
        <v>130</v>
      </c>
      <c r="O20" s="291">
        <v>135</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69</v>
      </c>
      <c r="B21" s="266" t="s">
        <v>168</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169</v>
      </c>
      <c r="C22" s="271"/>
      <c r="D22" s="272"/>
      <c r="E22" s="287">
        <v>0</v>
      </c>
      <c r="F22" s="288">
        <v>0</v>
      </c>
      <c r="G22" s="288">
        <v>0</v>
      </c>
      <c r="H22" s="288">
        <v>0</v>
      </c>
      <c r="I22" s="288">
        <v>0.74</v>
      </c>
      <c r="J22" s="288">
        <v>0.88100000000000001</v>
      </c>
      <c r="K22" s="288">
        <v>0.71199999999999997</v>
      </c>
      <c r="L22" s="288">
        <v>0.308</v>
      </c>
      <c r="M22" s="288">
        <v>0</v>
      </c>
      <c r="N22" s="288">
        <v>0</v>
      </c>
      <c r="O22" s="288">
        <v>0</v>
      </c>
      <c r="P22" s="288">
        <v>0</v>
      </c>
      <c r="Q22" s="288">
        <v>0</v>
      </c>
      <c r="R22" s="288">
        <v>0</v>
      </c>
      <c r="S22" s="288">
        <v>0</v>
      </c>
      <c r="T22" s="288">
        <v>0</v>
      </c>
      <c r="U22" s="288">
        <v>0</v>
      </c>
      <c r="V22" s="288">
        <v>0</v>
      </c>
      <c r="W22" s="288">
        <v>0</v>
      </c>
      <c r="X22" s="288">
        <v>0</v>
      </c>
      <c r="Y22" s="288">
        <v>0</v>
      </c>
      <c r="Z22" s="288">
        <v>0</v>
      </c>
      <c r="AA22" s="288">
        <v>0</v>
      </c>
      <c r="AB22" s="289">
        <v>0</v>
      </c>
    </row>
    <row r="23" spans="1:28" ht="15" customHeight="1" thickBot="1">
      <c r="A23" s="273"/>
      <c r="B23" s="274" t="s">
        <v>170</v>
      </c>
      <c r="C23" s="275"/>
      <c r="D23" s="276"/>
      <c r="E23" s="290">
        <v>0</v>
      </c>
      <c r="F23" s="291">
        <v>0</v>
      </c>
      <c r="G23" s="291">
        <v>0</v>
      </c>
      <c r="H23" s="291">
        <v>0</v>
      </c>
      <c r="I23" s="291">
        <v>13</v>
      </c>
      <c r="J23" s="291">
        <v>146</v>
      </c>
      <c r="K23" s="291">
        <v>191</v>
      </c>
      <c r="L23" s="291">
        <v>164</v>
      </c>
      <c r="M23" s="291">
        <v>116</v>
      </c>
      <c r="N23" s="291">
        <v>130</v>
      </c>
      <c r="O23" s="291">
        <v>135</v>
      </c>
      <c r="P23" s="291">
        <v>136</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70</v>
      </c>
      <c r="B24" s="266" t="s">
        <v>168</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182</v>
      </c>
      <c r="C25" s="271"/>
      <c r="D25" s="272"/>
      <c r="E25" s="287">
        <v>0</v>
      </c>
      <c r="F25" s="288">
        <v>0</v>
      </c>
      <c r="G25" s="288">
        <v>0</v>
      </c>
      <c r="H25" s="288">
        <v>0</v>
      </c>
      <c r="I25" s="288">
        <v>0</v>
      </c>
      <c r="J25" s="288">
        <v>0</v>
      </c>
      <c r="K25" s="288">
        <v>0</v>
      </c>
      <c r="L25" s="288">
        <v>0</v>
      </c>
      <c r="M25" s="288">
        <v>0</v>
      </c>
      <c r="N25" s="288">
        <v>0</v>
      </c>
      <c r="O25" s="288">
        <v>0</v>
      </c>
      <c r="P25" s="288">
        <v>0</v>
      </c>
      <c r="Q25" s="288">
        <v>0</v>
      </c>
      <c r="R25" s="288">
        <v>0</v>
      </c>
      <c r="S25" s="288">
        <v>0</v>
      </c>
      <c r="T25" s="288">
        <v>0</v>
      </c>
      <c r="U25" s="288">
        <v>0</v>
      </c>
      <c r="V25" s="288">
        <v>0</v>
      </c>
      <c r="W25" s="288">
        <v>0</v>
      </c>
      <c r="X25" s="288">
        <v>0</v>
      </c>
      <c r="Y25" s="288">
        <v>0</v>
      </c>
      <c r="Z25" s="288">
        <v>0</v>
      </c>
      <c r="AA25" s="288">
        <v>0</v>
      </c>
      <c r="AB25" s="289">
        <v>0</v>
      </c>
    </row>
    <row r="26" spans="1:28" ht="15" customHeight="1" thickBot="1">
      <c r="A26" s="273"/>
      <c r="B26" s="274" t="s">
        <v>170</v>
      </c>
      <c r="C26" s="275"/>
      <c r="D26" s="276"/>
      <c r="E26" s="290">
        <v>0</v>
      </c>
      <c r="F26" s="291">
        <v>0</v>
      </c>
      <c r="G26" s="291">
        <v>0</v>
      </c>
      <c r="H26" s="291">
        <v>0</v>
      </c>
      <c r="I26" s="291">
        <v>4</v>
      </c>
      <c r="J26" s="291">
        <v>31</v>
      </c>
      <c r="K26" s="291">
        <v>63</v>
      </c>
      <c r="L26" s="291">
        <v>93</v>
      </c>
      <c r="M26" s="291">
        <v>116</v>
      </c>
      <c r="N26" s="291">
        <v>130</v>
      </c>
      <c r="O26" s="291">
        <v>135</v>
      </c>
      <c r="P26" s="291">
        <v>136</v>
      </c>
      <c r="Q26" s="291">
        <v>134</v>
      </c>
      <c r="R26" s="291">
        <v>125</v>
      </c>
      <c r="S26" s="291">
        <v>107</v>
      </c>
      <c r="T26" s="291">
        <v>80</v>
      </c>
      <c r="U26" s="291">
        <v>50</v>
      </c>
      <c r="V26" s="291">
        <v>14</v>
      </c>
      <c r="W26" s="291">
        <v>0</v>
      </c>
      <c r="X26" s="291">
        <v>0</v>
      </c>
      <c r="Y26" s="291">
        <v>0</v>
      </c>
      <c r="Z26" s="291">
        <v>0</v>
      </c>
      <c r="AA26" s="291">
        <v>0</v>
      </c>
      <c r="AB26" s="292">
        <v>0</v>
      </c>
    </row>
    <row r="27" spans="1:28" ht="15" customHeight="1">
      <c r="A27" s="265" t="s">
        <v>71</v>
      </c>
      <c r="B27" s="266" t="s">
        <v>168</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182</v>
      </c>
      <c r="C28" s="271"/>
      <c r="D28" s="272"/>
      <c r="E28" s="287">
        <v>0</v>
      </c>
      <c r="F28" s="288">
        <v>0</v>
      </c>
      <c r="G28" s="288">
        <v>0</v>
      </c>
      <c r="H28" s="288">
        <v>0</v>
      </c>
      <c r="I28" s="288">
        <v>0</v>
      </c>
      <c r="J28" s="288">
        <v>0</v>
      </c>
      <c r="K28" s="288">
        <v>0</v>
      </c>
      <c r="L28" s="288">
        <v>0</v>
      </c>
      <c r="M28" s="288">
        <v>0</v>
      </c>
      <c r="N28" s="288">
        <v>0</v>
      </c>
      <c r="O28" s="288">
        <v>0</v>
      </c>
      <c r="P28" s="288">
        <v>0</v>
      </c>
      <c r="Q28" s="288">
        <v>0</v>
      </c>
      <c r="R28" s="288">
        <v>0</v>
      </c>
      <c r="S28" s="288">
        <v>0</v>
      </c>
      <c r="T28" s="288">
        <v>0</v>
      </c>
      <c r="U28" s="288">
        <v>0</v>
      </c>
      <c r="V28" s="288">
        <v>0</v>
      </c>
      <c r="W28" s="288">
        <v>0</v>
      </c>
      <c r="X28" s="288">
        <v>0</v>
      </c>
      <c r="Y28" s="288">
        <v>0</v>
      </c>
      <c r="Z28" s="288">
        <v>0</v>
      </c>
      <c r="AA28" s="288">
        <v>0</v>
      </c>
      <c r="AB28" s="289">
        <v>0</v>
      </c>
    </row>
    <row r="29" spans="1:28" ht="15" customHeight="1" thickBot="1">
      <c r="A29" s="273"/>
      <c r="B29" s="274" t="s">
        <v>170</v>
      </c>
      <c r="C29" s="275"/>
      <c r="D29" s="276"/>
      <c r="E29" s="290">
        <v>0</v>
      </c>
      <c r="F29" s="291">
        <v>0</v>
      </c>
      <c r="G29" s="291">
        <v>0</v>
      </c>
      <c r="H29" s="291">
        <v>0</v>
      </c>
      <c r="I29" s="291">
        <v>4</v>
      </c>
      <c r="J29" s="291">
        <v>31</v>
      </c>
      <c r="K29" s="291">
        <v>63</v>
      </c>
      <c r="L29" s="291">
        <v>93</v>
      </c>
      <c r="M29" s="291">
        <v>116</v>
      </c>
      <c r="N29" s="291">
        <v>130</v>
      </c>
      <c r="O29" s="291">
        <v>135</v>
      </c>
      <c r="P29" s="291">
        <v>136</v>
      </c>
      <c r="Q29" s="291">
        <v>134</v>
      </c>
      <c r="R29" s="291">
        <v>125</v>
      </c>
      <c r="S29" s="291">
        <v>107</v>
      </c>
      <c r="T29" s="291">
        <v>80</v>
      </c>
      <c r="U29" s="291">
        <v>50</v>
      </c>
      <c r="V29" s="291">
        <v>14</v>
      </c>
      <c r="W29" s="291">
        <v>0</v>
      </c>
      <c r="X29" s="291">
        <v>0</v>
      </c>
      <c r="Y29" s="291">
        <v>0</v>
      </c>
      <c r="Z29" s="291">
        <v>0</v>
      </c>
      <c r="AA29" s="291">
        <v>0</v>
      </c>
      <c r="AB29" s="292">
        <v>0</v>
      </c>
    </row>
    <row r="30" spans="1:28" ht="15" customHeight="1">
      <c r="A30" s="265" t="s">
        <v>72</v>
      </c>
      <c r="B30" s="266" t="s">
        <v>168</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182</v>
      </c>
      <c r="C31" s="271"/>
      <c r="D31" s="272"/>
      <c r="E31" s="287">
        <v>0</v>
      </c>
      <c r="F31" s="288">
        <v>0</v>
      </c>
      <c r="G31" s="288">
        <v>0</v>
      </c>
      <c r="H31" s="288">
        <v>0</v>
      </c>
      <c r="I31" s="288">
        <v>0</v>
      </c>
      <c r="J31" s="288">
        <v>0</v>
      </c>
      <c r="K31" s="288">
        <v>0</v>
      </c>
      <c r="L31" s="288">
        <v>0</v>
      </c>
      <c r="M31" s="288">
        <v>0</v>
      </c>
      <c r="N31" s="288">
        <v>0</v>
      </c>
      <c r="O31" s="288">
        <v>0</v>
      </c>
      <c r="P31" s="288">
        <v>0</v>
      </c>
      <c r="Q31" s="288">
        <v>0</v>
      </c>
      <c r="R31" s="288">
        <v>0</v>
      </c>
      <c r="S31" s="288">
        <v>0</v>
      </c>
      <c r="T31" s="288">
        <v>0.45</v>
      </c>
      <c r="U31" s="288">
        <v>0.73099999999999998</v>
      </c>
      <c r="V31" s="288">
        <v>0.73399999999999999</v>
      </c>
      <c r="W31" s="288">
        <v>0</v>
      </c>
      <c r="X31" s="288">
        <v>0</v>
      </c>
      <c r="Y31" s="288">
        <v>0</v>
      </c>
      <c r="Z31" s="288">
        <v>0</v>
      </c>
      <c r="AA31" s="288">
        <v>0</v>
      </c>
      <c r="AB31" s="289">
        <v>0</v>
      </c>
    </row>
    <row r="32" spans="1:28" ht="15" customHeight="1" thickBot="1">
      <c r="A32" s="273"/>
      <c r="B32" s="274" t="s">
        <v>170</v>
      </c>
      <c r="C32" s="275"/>
      <c r="D32" s="276"/>
      <c r="E32" s="290">
        <v>0</v>
      </c>
      <c r="F32" s="291">
        <v>0</v>
      </c>
      <c r="G32" s="291">
        <v>0</v>
      </c>
      <c r="H32" s="291">
        <v>0</v>
      </c>
      <c r="I32" s="291">
        <v>4</v>
      </c>
      <c r="J32" s="291">
        <v>31</v>
      </c>
      <c r="K32" s="291">
        <v>63</v>
      </c>
      <c r="L32" s="291">
        <v>93</v>
      </c>
      <c r="M32" s="291">
        <v>116</v>
      </c>
      <c r="N32" s="291">
        <v>130</v>
      </c>
      <c r="O32" s="291">
        <v>135</v>
      </c>
      <c r="P32" s="291">
        <v>136</v>
      </c>
      <c r="Q32" s="291">
        <v>134</v>
      </c>
      <c r="R32" s="291">
        <v>125</v>
      </c>
      <c r="S32" s="291">
        <v>107</v>
      </c>
      <c r="T32" s="291">
        <v>178</v>
      </c>
      <c r="U32" s="291">
        <v>165</v>
      </c>
      <c r="V32" s="291">
        <v>42</v>
      </c>
      <c r="W32" s="291">
        <v>0</v>
      </c>
      <c r="X32" s="291">
        <v>0</v>
      </c>
      <c r="Y32" s="291">
        <v>0</v>
      </c>
      <c r="Z32" s="291">
        <v>0</v>
      </c>
      <c r="AA32" s="291">
        <v>0</v>
      </c>
      <c r="AB32" s="292">
        <v>0</v>
      </c>
    </row>
    <row r="33" spans="1:28" ht="15" customHeight="1">
      <c r="A33" s="265" t="s">
        <v>73</v>
      </c>
      <c r="B33" s="266" t="s">
        <v>168</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169</v>
      </c>
      <c r="C34" s="271"/>
      <c r="D34" s="272"/>
      <c r="E34" s="287">
        <v>0</v>
      </c>
      <c r="F34" s="288">
        <v>0</v>
      </c>
      <c r="G34" s="288">
        <v>0</v>
      </c>
      <c r="H34" s="288">
        <v>0</v>
      </c>
      <c r="I34" s="288">
        <v>0</v>
      </c>
      <c r="J34" s="288">
        <v>0</v>
      </c>
      <c r="K34" s="288">
        <v>0</v>
      </c>
      <c r="L34" s="288">
        <v>0</v>
      </c>
      <c r="M34" s="288">
        <v>0</v>
      </c>
      <c r="N34" s="288">
        <v>0</v>
      </c>
      <c r="O34" s="288">
        <v>0</v>
      </c>
      <c r="P34" s="288">
        <v>0</v>
      </c>
      <c r="Q34" s="288">
        <v>0</v>
      </c>
      <c r="R34" s="288">
        <v>0</v>
      </c>
      <c r="S34" s="288">
        <v>0</v>
      </c>
      <c r="T34" s="288">
        <v>0.499</v>
      </c>
      <c r="U34" s="288">
        <v>0.92400000000000004</v>
      </c>
      <c r="V34" s="288">
        <v>1</v>
      </c>
      <c r="W34" s="288">
        <v>0</v>
      </c>
      <c r="X34" s="288">
        <v>0</v>
      </c>
      <c r="Y34" s="288">
        <v>0</v>
      </c>
      <c r="Z34" s="288">
        <v>0</v>
      </c>
      <c r="AA34" s="288">
        <v>0</v>
      </c>
      <c r="AB34" s="289">
        <v>0</v>
      </c>
    </row>
    <row r="35" spans="1:28" ht="15" customHeight="1" thickBot="1">
      <c r="A35" s="273"/>
      <c r="B35" s="274" t="s">
        <v>170</v>
      </c>
      <c r="C35" s="275"/>
      <c r="D35" s="276"/>
      <c r="E35" s="290">
        <v>0</v>
      </c>
      <c r="F35" s="291">
        <v>0</v>
      </c>
      <c r="G35" s="291">
        <v>0</v>
      </c>
      <c r="H35" s="291">
        <v>0</v>
      </c>
      <c r="I35" s="291">
        <v>4</v>
      </c>
      <c r="J35" s="291">
        <v>31</v>
      </c>
      <c r="K35" s="291">
        <v>63</v>
      </c>
      <c r="L35" s="291">
        <v>93</v>
      </c>
      <c r="M35" s="291">
        <v>116</v>
      </c>
      <c r="N35" s="291">
        <v>130</v>
      </c>
      <c r="O35" s="291">
        <v>135</v>
      </c>
      <c r="P35" s="291">
        <v>136</v>
      </c>
      <c r="Q35" s="291">
        <v>134</v>
      </c>
      <c r="R35" s="291">
        <v>125</v>
      </c>
      <c r="S35" s="291">
        <v>107</v>
      </c>
      <c r="T35" s="291">
        <v>189</v>
      </c>
      <c r="U35" s="291">
        <v>218</v>
      </c>
      <c r="V35" s="291">
        <v>66</v>
      </c>
      <c r="W35" s="291">
        <v>0</v>
      </c>
      <c r="X35" s="291">
        <v>0</v>
      </c>
      <c r="Y35" s="291">
        <v>0</v>
      </c>
      <c r="Z35" s="291">
        <v>0</v>
      </c>
      <c r="AA35" s="291">
        <v>0</v>
      </c>
      <c r="AB35" s="292">
        <v>0</v>
      </c>
    </row>
    <row r="36" spans="1:28" ht="15" customHeight="1">
      <c r="A36" s="277" t="s">
        <v>74</v>
      </c>
      <c r="B36" s="266" t="s">
        <v>168</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169</v>
      </c>
      <c r="C37" s="271"/>
      <c r="D37" s="272"/>
      <c r="E37" s="287">
        <v>0</v>
      </c>
      <c r="F37" s="288">
        <v>0</v>
      </c>
      <c r="G37" s="288">
        <v>0</v>
      </c>
      <c r="H37" s="288">
        <v>0</v>
      </c>
      <c r="I37" s="288">
        <v>0</v>
      </c>
      <c r="J37" s="288">
        <v>0</v>
      </c>
      <c r="K37" s="288">
        <v>0</v>
      </c>
      <c r="L37" s="288">
        <v>0</v>
      </c>
      <c r="M37" s="288">
        <v>0</v>
      </c>
      <c r="N37" s="288">
        <v>0</v>
      </c>
      <c r="O37" s="288">
        <v>0</v>
      </c>
      <c r="P37" s="288">
        <v>0</v>
      </c>
      <c r="Q37" s="288">
        <v>0</v>
      </c>
      <c r="R37" s="288">
        <v>0</v>
      </c>
      <c r="S37" s="288">
        <v>0</v>
      </c>
      <c r="T37" s="288">
        <v>0</v>
      </c>
      <c r="U37" s="288">
        <v>0.182</v>
      </c>
      <c r="V37" s="288">
        <v>0.59299999999999997</v>
      </c>
      <c r="W37" s="288">
        <v>0</v>
      </c>
      <c r="X37" s="288">
        <v>0</v>
      </c>
      <c r="Y37" s="288">
        <v>0</v>
      </c>
      <c r="Z37" s="288">
        <v>0</v>
      </c>
      <c r="AA37" s="288">
        <v>0</v>
      </c>
      <c r="AB37" s="289">
        <v>0</v>
      </c>
    </row>
    <row r="38" spans="1:28" ht="15" customHeight="1" thickBot="1">
      <c r="A38" s="279"/>
      <c r="B38" s="274" t="s">
        <v>170</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80</v>
      </c>
      <c r="U38" s="291">
        <v>61</v>
      </c>
      <c r="V38" s="291">
        <v>30</v>
      </c>
      <c r="W38" s="291">
        <v>0</v>
      </c>
      <c r="X38" s="291">
        <v>0</v>
      </c>
      <c r="Y38" s="291">
        <v>0</v>
      </c>
      <c r="Z38" s="291">
        <v>0</v>
      </c>
      <c r="AA38" s="291">
        <v>0</v>
      </c>
      <c r="AB38" s="292">
        <v>0</v>
      </c>
    </row>
    <row r="39" spans="1:28" ht="15" customHeight="1">
      <c r="A39" s="280" t="s">
        <v>18</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173</v>
      </c>
      <c r="B41" s="251" t="s">
        <v>164</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165</v>
      </c>
      <c r="B42" s="258" t="s">
        <v>166</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66</v>
      </c>
      <c r="B43" s="258" t="s">
        <v>167</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67</v>
      </c>
      <c r="B44" s="266" t="s">
        <v>168</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169</v>
      </c>
      <c r="C45" s="271"/>
      <c r="D45" s="272"/>
      <c r="E45" s="288">
        <v>0</v>
      </c>
      <c r="F45" s="288">
        <v>0</v>
      </c>
      <c r="G45" s="288">
        <v>0</v>
      </c>
      <c r="H45" s="288">
        <v>0</v>
      </c>
      <c r="I45" s="288">
        <v>0</v>
      </c>
      <c r="J45" s="288">
        <v>0</v>
      </c>
      <c r="K45" s="288">
        <v>0</v>
      </c>
      <c r="L45" s="288">
        <v>0</v>
      </c>
      <c r="M45" s="288">
        <v>0</v>
      </c>
      <c r="N45" s="288">
        <v>0</v>
      </c>
      <c r="O45" s="288">
        <v>0</v>
      </c>
      <c r="P45" s="288">
        <v>0</v>
      </c>
      <c r="Q45" s="288">
        <v>0</v>
      </c>
      <c r="R45" s="288">
        <v>0</v>
      </c>
      <c r="S45" s="288">
        <v>0</v>
      </c>
      <c r="T45" s="288">
        <v>0</v>
      </c>
      <c r="U45" s="288">
        <v>0</v>
      </c>
      <c r="V45" s="288">
        <v>0</v>
      </c>
      <c r="W45" s="288">
        <v>0</v>
      </c>
      <c r="X45" s="288">
        <v>0</v>
      </c>
      <c r="Y45" s="288">
        <v>0</v>
      </c>
      <c r="Z45" s="288">
        <v>0</v>
      </c>
      <c r="AA45" s="288">
        <v>0</v>
      </c>
      <c r="AB45" s="289">
        <v>0</v>
      </c>
    </row>
    <row r="46" spans="1:28" ht="15" customHeight="1" thickBot="1">
      <c r="A46" s="273"/>
      <c r="B46" s="274" t="s">
        <v>170</v>
      </c>
      <c r="C46" s="275"/>
      <c r="D46" s="276"/>
      <c r="E46" s="291">
        <v>0</v>
      </c>
      <c r="F46" s="291">
        <v>0</v>
      </c>
      <c r="G46" s="291">
        <v>0</v>
      </c>
      <c r="H46" s="291">
        <v>0</v>
      </c>
      <c r="I46" s="291">
        <v>6</v>
      </c>
      <c r="J46" s="291">
        <v>35</v>
      </c>
      <c r="K46" s="291">
        <v>62</v>
      </c>
      <c r="L46" s="291">
        <v>87</v>
      </c>
      <c r="M46" s="291">
        <v>103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68</v>
      </c>
      <c r="B47" s="266" t="s">
        <v>168</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169</v>
      </c>
      <c r="C48" s="271"/>
      <c r="D48" s="272"/>
      <c r="E48" s="288">
        <v>0</v>
      </c>
      <c r="F48" s="288">
        <v>0</v>
      </c>
      <c r="G48" s="288">
        <v>0</v>
      </c>
      <c r="H48" s="288">
        <v>0</v>
      </c>
      <c r="I48" s="288">
        <v>1</v>
      </c>
      <c r="J48" s="288">
        <v>1</v>
      </c>
      <c r="K48" s="288">
        <v>0.73299999999999998</v>
      </c>
      <c r="L48" s="288">
        <v>0.193</v>
      </c>
      <c r="M48" s="288">
        <v>0</v>
      </c>
      <c r="N48" s="288">
        <v>0</v>
      </c>
      <c r="O48" s="288">
        <v>0</v>
      </c>
      <c r="P48" s="288">
        <v>0</v>
      </c>
      <c r="Q48" s="288">
        <v>0</v>
      </c>
      <c r="R48" s="288">
        <v>0</v>
      </c>
      <c r="S48" s="288">
        <v>0</v>
      </c>
      <c r="T48" s="288">
        <v>0</v>
      </c>
      <c r="U48" s="288">
        <v>0</v>
      </c>
      <c r="V48" s="288">
        <v>0</v>
      </c>
      <c r="W48" s="288">
        <v>0</v>
      </c>
      <c r="X48" s="288">
        <v>0</v>
      </c>
      <c r="Y48" s="288">
        <v>0</v>
      </c>
      <c r="Z48" s="288">
        <v>0</v>
      </c>
      <c r="AA48" s="288">
        <v>0</v>
      </c>
      <c r="AB48" s="289">
        <v>0</v>
      </c>
    </row>
    <row r="49" spans="1:28" ht="15" customHeight="1" thickBot="1">
      <c r="A49" s="273"/>
      <c r="B49" s="274" t="s">
        <v>170</v>
      </c>
      <c r="C49" s="275"/>
      <c r="D49" s="276"/>
      <c r="E49" s="291">
        <v>0</v>
      </c>
      <c r="F49" s="291">
        <v>0</v>
      </c>
      <c r="G49" s="291">
        <v>0</v>
      </c>
      <c r="H49" s="291">
        <v>0</v>
      </c>
      <c r="I49" s="291">
        <v>80</v>
      </c>
      <c r="J49" s="291">
        <v>396</v>
      </c>
      <c r="K49" s="291">
        <v>387</v>
      </c>
      <c r="L49" s="291">
        <v>167</v>
      </c>
      <c r="M49" s="291">
        <v>103</v>
      </c>
      <c r="N49" s="291">
        <v>110</v>
      </c>
      <c r="O49" s="291">
        <v>111</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69</v>
      </c>
      <c r="B50" s="266" t="s">
        <v>168</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169</v>
      </c>
      <c r="C51" s="271"/>
      <c r="D51" s="272"/>
      <c r="E51" s="288">
        <v>0</v>
      </c>
      <c r="F51" s="288">
        <v>0</v>
      </c>
      <c r="G51" s="288">
        <v>0</v>
      </c>
      <c r="H51" s="288">
        <v>0</v>
      </c>
      <c r="I51" s="288">
        <v>0.74</v>
      </c>
      <c r="J51" s="288">
        <v>0.88100000000000001</v>
      </c>
      <c r="K51" s="288">
        <v>0.71199999999999997</v>
      </c>
      <c r="L51" s="288">
        <v>0.308</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9">
        <v>0</v>
      </c>
    </row>
    <row r="52" spans="1:28" ht="15" customHeight="1" thickBot="1">
      <c r="A52" s="273"/>
      <c r="B52" s="274" t="s">
        <v>170</v>
      </c>
      <c r="C52" s="275"/>
      <c r="D52" s="276"/>
      <c r="E52" s="291">
        <v>0</v>
      </c>
      <c r="F52" s="291">
        <v>0</v>
      </c>
      <c r="G52" s="291">
        <v>0</v>
      </c>
      <c r="H52" s="291">
        <v>0</v>
      </c>
      <c r="I52" s="291">
        <v>43</v>
      </c>
      <c r="J52" s="291">
        <v>290</v>
      </c>
      <c r="K52" s="291">
        <v>353</v>
      </c>
      <c r="L52" s="291">
        <v>223</v>
      </c>
      <c r="M52" s="291">
        <v>103</v>
      </c>
      <c r="N52" s="291">
        <v>110</v>
      </c>
      <c r="O52" s="291">
        <v>111</v>
      </c>
      <c r="P52" s="291">
        <v>110</v>
      </c>
      <c r="Q52" s="291">
        <v>112</v>
      </c>
      <c r="R52" s="291">
        <v>109</v>
      </c>
      <c r="S52" s="291">
        <v>98</v>
      </c>
      <c r="T52" s="291">
        <v>76</v>
      </c>
      <c r="U52" s="291">
        <v>51</v>
      </c>
      <c r="V52" s="291">
        <v>21</v>
      </c>
      <c r="W52" s="291">
        <v>2</v>
      </c>
      <c r="X52" s="291">
        <v>0</v>
      </c>
      <c r="Y52" s="291">
        <v>0</v>
      </c>
      <c r="Z52" s="291">
        <v>0</v>
      </c>
      <c r="AA52" s="291">
        <v>0</v>
      </c>
      <c r="AB52" s="292">
        <v>0</v>
      </c>
    </row>
    <row r="53" spans="1:28" ht="15" customHeight="1">
      <c r="A53" s="265" t="s">
        <v>70</v>
      </c>
      <c r="B53" s="266" t="s">
        <v>168</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169</v>
      </c>
      <c r="C54" s="271"/>
      <c r="D54" s="272"/>
      <c r="E54" s="288">
        <v>0</v>
      </c>
      <c r="F54" s="288">
        <v>0</v>
      </c>
      <c r="G54" s="288">
        <v>0</v>
      </c>
      <c r="H54" s="288">
        <v>0</v>
      </c>
      <c r="I54" s="288">
        <v>0</v>
      </c>
      <c r="J54" s="288">
        <v>0</v>
      </c>
      <c r="K54" s="288">
        <v>0</v>
      </c>
      <c r="L54" s="288">
        <v>0</v>
      </c>
      <c r="M54" s="288">
        <v>0</v>
      </c>
      <c r="N54" s="288">
        <v>0</v>
      </c>
      <c r="O54" s="288">
        <v>0</v>
      </c>
      <c r="P54" s="288">
        <v>0</v>
      </c>
      <c r="Q54" s="288">
        <v>0</v>
      </c>
      <c r="R54" s="288">
        <v>0</v>
      </c>
      <c r="S54" s="288">
        <v>0</v>
      </c>
      <c r="T54" s="288">
        <v>0</v>
      </c>
      <c r="U54" s="288">
        <v>0</v>
      </c>
      <c r="V54" s="288">
        <v>0</v>
      </c>
      <c r="W54" s="288">
        <v>0</v>
      </c>
      <c r="X54" s="288">
        <v>0</v>
      </c>
      <c r="Y54" s="288">
        <v>0</v>
      </c>
      <c r="Z54" s="288">
        <v>0</v>
      </c>
      <c r="AA54" s="288">
        <v>0</v>
      </c>
      <c r="AB54" s="289">
        <v>0</v>
      </c>
    </row>
    <row r="55" spans="1:28" ht="15" customHeight="1" thickBot="1">
      <c r="A55" s="273"/>
      <c r="B55" s="274" t="s">
        <v>170</v>
      </c>
      <c r="C55" s="275"/>
      <c r="D55" s="276"/>
      <c r="E55" s="291">
        <v>0</v>
      </c>
      <c r="F55" s="291">
        <v>0</v>
      </c>
      <c r="G55" s="291">
        <v>0</v>
      </c>
      <c r="H55" s="291">
        <v>0</v>
      </c>
      <c r="I55" s="291">
        <v>6</v>
      </c>
      <c r="J55" s="291">
        <v>35</v>
      </c>
      <c r="K55" s="291">
        <v>62</v>
      </c>
      <c r="L55" s="291">
        <v>87</v>
      </c>
      <c r="M55" s="291">
        <v>103</v>
      </c>
      <c r="N55" s="291">
        <v>110</v>
      </c>
      <c r="O55" s="291">
        <v>111</v>
      </c>
      <c r="P55" s="291">
        <v>110</v>
      </c>
      <c r="Q55" s="291">
        <v>112</v>
      </c>
      <c r="R55" s="291">
        <v>109</v>
      </c>
      <c r="S55" s="291">
        <v>98</v>
      </c>
      <c r="T55" s="291">
        <v>76</v>
      </c>
      <c r="U55" s="291">
        <v>51</v>
      </c>
      <c r="V55" s="291">
        <v>21</v>
      </c>
      <c r="W55" s="291">
        <v>2</v>
      </c>
      <c r="X55" s="291">
        <v>0</v>
      </c>
      <c r="Y55" s="291">
        <v>0</v>
      </c>
      <c r="Z55" s="291">
        <v>0</v>
      </c>
      <c r="AA55" s="291">
        <v>0</v>
      </c>
      <c r="AB55" s="292">
        <v>0</v>
      </c>
    </row>
    <row r="56" spans="1:28" ht="15" customHeight="1">
      <c r="A56" s="265" t="s">
        <v>71</v>
      </c>
      <c r="B56" s="266" t="s">
        <v>168</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169</v>
      </c>
      <c r="C57" s="271"/>
      <c r="D57" s="272"/>
      <c r="E57" s="288">
        <v>0</v>
      </c>
      <c r="F57" s="288">
        <v>0</v>
      </c>
      <c r="G57" s="288">
        <v>0</v>
      </c>
      <c r="H57" s="288">
        <v>0</v>
      </c>
      <c r="I57" s="288">
        <v>0</v>
      </c>
      <c r="J57" s="288">
        <v>0</v>
      </c>
      <c r="K57" s="288">
        <v>0</v>
      </c>
      <c r="L57" s="288">
        <v>0</v>
      </c>
      <c r="M57" s="288">
        <v>0</v>
      </c>
      <c r="N57" s="288">
        <v>0</v>
      </c>
      <c r="O57" s="288">
        <v>0</v>
      </c>
      <c r="P57" s="288">
        <v>0</v>
      </c>
      <c r="Q57" s="288">
        <v>0</v>
      </c>
      <c r="R57" s="288">
        <v>0</v>
      </c>
      <c r="S57" s="288">
        <v>0</v>
      </c>
      <c r="T57" s="288">
        <v>0</v>
      </c>
      <c r="U57" s="288">
        <v>0</v>
      </c>
      <c r="V57" s="288">
        <v>0</v>
      </c>
      <c r="W57" s="288">
        <v>0</v>
      </c>
      <c r="X57" s="288">
        <v>0</v>
      </c>
      <c r="Y57" s="288">
        <v>0</v>
      </c>
      <c r="Z57" s="288">
        <v>0</v>
      </c>
      <c r="AA57" s="288">
        <v>0</v>
      </c>
      <c r="AB57" s="289">
        <v>0</v>
      </c>
    </row>
    <row r="58" spans="1:28" ht="15" customHeight="1" thickBot="1">
      <c r="A58" s="273"/>
      <c r="B58" s="274" t="s">
        <v>170</v>
      </c>
      <c r="C58" s="275"/>
      <c r="D58" s="276"/>
      <c r="E58" s="291">
        <v>0</v>
      </c>
      <c r="F58" s="291">
        <v>0</v>
      </c>
      <c r="G58" s="291">
        <v>0</v>
      </c>
      <c r="H58" s="291">
        <v>0</v>
      </c>
      <c r="I58" s="291">
        <v>6</v>
      </c>
      <c r="J58" s="291">
        <v>35</v>
      </c>
      <c r="K58" s="291">
        <v>62</v>
      </c>
      <c r="L58" s="291">
        <v>87</v>
      </c>
      <c r="M58" s="291">
        <v>103</v>
      </c>
      <c r="N58" s="291">
        <v>110</v>
      </c>
      <c r="O58" s="291">
        <v>111</v>
      </c>
      <c r="P58" s="291">
        <v>110</v>
      </c>
      <c r="Q58" s="291">
        <v>112</v>
      </c>
      <c r="R58" s="291">
        <v>109</v>
      </c>
      <c r="S58" s="291">
        <v>98</v>
      </c>
      <c r="T58" s="291">
        <v>76</v>
      </c>
      <c r="U58" s="291">
        <v>51</v>
      </c>
      <c r="V58" s="291">
        <v>21</v>
      </c>
      <c r="W58" s="291">
        <v>2</v>
      </c>
      <c r="X58" s="291">
        <v>0</v>
      </c>
      <c r="Y58" s="291">
        <v>0</v>
      </c>
      <c r="Z58" s="291">
        <v>0</v>
      </c>
      <c r="AA58" s="291">
        <v>0</v>
      </c>
      <c r="AB58" s="292">
        <v>0</v>
      </c>
    </row>
    <row r="59" spans="1:28" ht="15" customHeight="1">
      <c r="A59" s="265" t="s">
        <v>72</v>
      </c>
      <c r="B59" s="266" t="s">
        <v>168</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169</v>
      </c>
      <c r="C60" s="271"/>
      <c r="D60" s="272"/>
      <c r="E60" s="288">
        <v>0</v>
      </c>
      <c r="F60" s="288">
        <v>0</v>
      </c>
      <c r="G60" s="288">
        <v>0</v>
      </c>
      <c r="H60" s="288">
        <v>0</v>
      </c>
      <c r="I60" s="288">
        <v>0</v>
      </c>
      <c r="J60" s="288">
        <v>0</v>
      </c>
      <c r="K60" s="288">
        <v>0</v>
      </c>
      <c r="L60" s="288">
        <v>0</v>
      </c>
      <c r="M60" s="288">
        <v>0</v>
      </c>
      <c r="N60" s="288">
        <v>0</v>
      </c>
      <c r="O60" s="288">
        <v>0</v>
      </c>
      <c r="P60" s="288">
        <v>0</v>
      </c>
      <c r="Q60" s="288">
        <v>0</v>
      </c>
      <c r="R60" s="288">
        <v>0</v>
      </c>
      <c r="S60" s="288">
        <v>0</v>
      </c>
      <c r="T60" s="288">
        <v>0.45</v>
      </c>
      <c r="U60" s="288">
        <v>0.73099999999999998</v>
      </c>
      <c r="V60" s="288">
        <v>0.73399999999999999</v>
      </c>
      <c r="W60" s="288">
        <v>0</v>
      </c>
      <c r="X60" s="288">
        <v>0</v>
      </c>
      <c r="Y60" s="288">
        <v>0</v>
      </c>
      <c r="Z60" s="288">
        <v>0</v>
      </c>
      <c r="AA60" s="288">
        <v>0</v>
      </c>
      <c r="AB60" s="289">
        <v>0</v>
      </c>
    </row>
    <row r="61" spans="1:28" ht="15" customHeight="1" thickBot="1">
      <c r="A61" s="273"/>
      <c r="B61" s="274" t="s">
        <v>170</v>
      </c>
      <c r="C61" s="275"/>
      <c r="D61" s="276"/>
      <c r="E61" s="291">
        <v>0</v>
      </c>
      <c r="F61" s="291">
        <v>0</v>
      </c>
      <c r="G61" s="291">
        <v>0</v>
      </c>
      <c r="H61" s="291">
        <v>0</v>
      </c>
      <c r="I61" s="291">
        <v>6</v>
      </c>
      <c r="J61" s="291">
        <v>35</v>
      </c>
      <c r="K61" s="291">
        <v>62</v>
      </c>
      <c r="L61" s="291">
        <v>87</v>
      </c>
      <c r="M61" s="291">
        <v>103</v>
      </c>
      <c r="N61" s="291">
        <v>110</v>
      </c>
      <c r="O61" s="291">
        <v>111</v>
      </c>
      <c r="P61" s="291">
        <v>110</v>
      </c>
      <c r="Q61" s="291">
        <v>112</v>
      </c>
      <c r="R61" s="291">
        <v>109</v>
      </c>
      <c r="S61" s="291">
        <v>98</v>
      </c>
      <c r="T61" s="291">
        <v>264</v>
      </c>
      <c r="U61" s="291">
        <v>319</v>
      </c>
      <c r="V61" s="291">
        <v>150</v>
      </c>
      <c r="W61" s="291">
        <v>2</v>
      </c>
      <c r="X61" s="291">
        <v>0</v>
      </c>
      <c r="Y61" s="291">
        <v>0</v>
      </c>
      <c r="Z61" s="291">
        <v>0</v>
      </c>
      <c r="AA61" s="291">
        <v>0</v>
      </c>
      <c r="AB61" s="292">
        <v>0</v>
      </c>
    </row>
    <row r="62" spans="1:28" ht="15" customHeight="1">
      <c r="A62" s="265" t="s">
        <v>73</v>
      </c>
      <c r="B62" s="266" t="s">
        <v>168</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169</v>
      </c>
      <c r="C63" s="271"/>
      <c r="D63" s="272"/>
      <c r="E63" s="288">
        <v>0</v>
      </c>
      <c r="F63" s="288">
        <v>0</v>
      </c>
      <c r="G63" s="288">
        <v>0</v>
      </c>
      <c r="H63" s="288">
        <v>0</v>
      </c>
      <c r="I63" s="288">
        <v>0</v>
      </c>
      <c r="J63" s="288">
        <v>0</v>
      </c>
      <c r="K63" s="288">
        <v>0</v>
      </c>
      <c r="L63" s="288">
        <v>0</v>
      </c>
      <c r="M63" s="288">
        <v>0</v>
      </c>
      <c r="N63" s="288">
        <v>0</v>
      </c>
      <c r="O63" s="288">
        <v>0</v>
      </c>
      <c r="P63" s="288">
        <v>0</v>
      </c>
      <c r="Q63" s="288">
        <v>0</v>
      </c>
      <c r="R63" s="288">
        <v>0</v>
      </c>
      <c r="S63" s="288">
        <v>0</v>
      </c>
      <c r="T63" s="288">
        <v>0.499</v>
      </c>
      <c r="U63" s="288">
        <v>0.92400000000000004</v>
      </c>
      <c r="V63" s="288">
        <v>1</v>
      </c>
      <c r="W63" s="288">
        <v>0</v>
      </c>
      <c r="X63" s="288">
        <v>0</v>
      </c>
      <c r="Y63" s="288">
        <v>0</v>
      </c>
      <c r="Z63" s="288">
        <v>0</v>
      </c>
      <c r="AA63" s="288">
        <v>0</v>
      </c>
      <c r="AB63" s="289">
        <v>0</v>
      </c>
    </row>
    <row r="64" spans="1:28" ht="15" customHeight="1" thickBot="1">
      <c r="A64" s="273"/>
      <c r="B64" s="274" t="s">
        <v>170</v>
      </c>
      <c r="C64" s="275"/>
      <c r="D64" s="276"/>
      <c r="E64" s="291">
        <v>0</v>
      </c>
      <c r="F64" s="291">
        <v>0</v>
      </c>
      <c r="G64" s="291">
        <v>0</v>
      </c>
      <c r="H64" s="291">
        <v>0</v>
      </c>
      <c r="I64" s="291">
        <v>6</v>
      </c>
      <c r="J64" s="291">
        <v>35</v>
      </c>
      <c r="K64" s="291">
        <v>62</v>
      </c>
      <c r="L64" s="291">
        <v>87</v>
      </c>
      <c r="M64" s="291">
        <v>103</v>
      </c>
      <c r="N64" s="291">
        <v>110</v>
      </c>
      <c r="O64" s="291">
        <v>111</v>
      </c>
      <c r="P64" s="291">
        <v>110</v>
      </c>
      <c r="Q64" s="291">
        <v>112</v>
      </c>
      <c r="R64" s="291">
        <v>109</v>
      </c>
      <c r="S64" s="291">
        <v>98</v>
      </c>
      <c r="T64" s="291">
        <v>285</v>
      </c>
      <c r="U64" s="291">
        <v>443</v>
      </c>
      <c r="V64" s="291">
        <v>256</v>
      </c>
      <c r="W64" s="291">
        <v>2</v>
      </c>
      <c r="X64" s="291">
        <v>0</v>
      </c>
      <c r="Y64" s="291">
        <v>0</v>
      </c>
      <c r="Z64" s="291">
        <v>0</v>
      </c>
      <c r="AA64" s="291">
        <v>0</v>
      </c>
      <c r="AB64" s="292">
        <v>0</v>
      </c>
    </row>
    <row r="65" spans="1:28" ht="15" customHeight="1">
      <c r="A65" s="277" t="s">
        <v>74</v>
      </c>
      <c r="B65" s="266" t="s">
        <v>168</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169</v>
      </c>
      <c r="C66" s="271"/>
      <c r="D66" s="272"/>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0.182</v>
      </c>
      <c r="V66" s="288">
        <v>0.59299999999999997</v>
      </c>
      <c r="W66" s="288">
        <v>0</v>
      </c>
      <c r="X66" s="288">
        <v>0</v>
      </c>
      <c r="Y66" s="288">
        <v>0</v>
      </c>
      <c r="Z66" s="288">
        <v>0</v>
      </c>
      <c r="AA66" s="288">
        <v>0</v>
      </c>
      <c r="AB66" s="289">
        <v>0</v>
      </c>
    </row>
    <row r="67" spans="1:28" ht="15" customHeight="1" thickBot="1">
      <c r="A67" s="279"/>
      <c r="B67" s="274" t="s">
        <v>170</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76</v>
      </c>
      <c r="U67" s="291">
        <v>77</v>
      </c>
      <c r="V67" s="291">
        <v>96</v>
      </c>
      <c r="W67" s="291">
        <v>2</v>
      </c>
      <c r="X67" s="291">
        <v>0</v>
      </c>
      <c r="Y67" s="291">
        <v>0</v>
      </c>
      <c r="Z67" s="291">
        <v>0</v>
      </c>
      <c r="AA67" s="291">
        <v>0</v>
      </c>
      <c r="AB67" s="292">
        <v>0</v>
      </c>
    </row>
    <row r="68" spans="1:28" ht="15" customHeight="1">
      <c r="A68" s="39" t="s">
        <v>19</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173</v>
      </c>
      <c r="B70" s="251" t="s">
        <v>164</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183</v>
      </c>
      <c r="B71" s="258" t="s">
        <v>166</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66</v>
      </c>
      <c r="B72" s="258" t="s">
        <v>167</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67</v>
      </c>
      <c r="B73" s="266" t="s">
        <v>168</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169</v>
      </c>
      <c r="C74" s="271"/>
      <c r="D74" s="272"/>
      <c r="E74" s="288">
        <v>0</v>
      </c>
      <c r="F74" s="288">
        <v>0</v>
      </c>
      <c r="G74" s="28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288">
        <v>0</v>
      </c>
      <c r="X74" s="288">
        <v>0</v>
      </c>
      <c r="Y74" s="288">
        <v>0</v>
      </c>
      <c r="Z74" s="288">
        <v>0</v>
      </c>
      <c r="AA74" s="288">
        <v>0</v>
      </c>
      <c r="AB74" s="289">
        <v>0</v>
      </c>
    </row>
    <row r="75" spans="1:28" ht="15" customHeight="1" thickBot="1">
      <c r="A75" s="273"/>
      <c r="B75" s="274" t="s">
        <v>170</v>
      </c>
      <c r="C75" s="275"/>
      <c r="D75" s="276"/>
      <c r="E75" s="291">
        <v>0</v>
      </c>
      <c r="F75" s="291">
        <v>0</v>
      </c>
      <c r="G75" s="291">
        <v>0</v>
      </c>
      <c r="H75" s="291">
        <v>0</v>
      </c>
      <c r="I75" s="291">
        <v>0</v>
      </c>
      <c r="J75" s="291">
        <v>19</v>
      </c>
      <c r="K75" s="291">
        <v>47</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68</v>
      </c>
      <c r="B76" s="266" t="s">
        <v>168</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169</v>
      </c>
      <c r="C77" s="271"/>
      <c r="D77" s="272"/>
      <c r="E77" s="288">
        <v>0</v>
      </c>
      <c r="F77" s="288">
        <v>0</v>
      </c>
      <c r="G77" s="288">
        <v>0</v>
      </c>
      <c r="H77" s="288">
        <v>0</v>
      </c>
      <c r="I77" s="288">
        <v>0</v>
      </c>
      <c r="J77" s="288">
        <v>0.98399999999999999</v>
      </c>
      <c r="K77" s="288">
        <v>0.73599999999999999</v>
      </c>
      <c r="L77" s="288">
        <v>0.156</v>
      </c>
      <c r="M77" s="288">
        <v>0</v>
      </c>
      <c r="N77" s="288">
        <v>0</v>
      </c>
      <c r="O77" s="288">
        <v>0</v>
      </c>
      <c r="P77" s="288">
        <v>0</v>
      </c>
      <c r="Q77" s="288">
        <v>0</v>
      </c>
      <c r="R77" s="288">
        <v>0</v>
      </c>
      <c r="S77" s="288">
        <v>0</v>
      </c>
      <c r="T77" s="288">
        <v>0</v>
      </c>
      <c r="U77" s="288">
        <v>0</v>
      </c>
      <c r="V77" s="288">
        <v>0</v>
      </c>
      <c r="W77" s="288">
        <v>0</v>
      </c>
      <c r="X77" s="288">
        <v>0</v>
      </c>
      <c r="Y77" s="288">
        <v>0</v>
      </c>
      <c r="Z77" s="288">
        <v>0</v>
      </c>
      <c r="AA77" s="288">
        <v>0</v>
      </c>
      <c r="AB77" s="289">
        <v>0</v>
      </c>
    </row>
    <row r="78" spans="1:28" ht="15" customHeight="1" thickBot="1">
      <c r="A78" s="273"/>
      <c r="B78" s="274" t="s">
        <v>170</v>
      </c>
      <c r="C78" s="275"/>
      <c r="D78" s="276"/>
      <c r="E78" s="291">
        <v>0</v>
      </c>
      <c r="F78" s="291">
        <v>0</v>
      </c>
      <c r="G78" s="291">
        <v>0</v>
      </c>
      <c r="H78" s="291">
        <v>0</v>
      </c>
      <c r="I78" s="291">
        <v>0</v>
      </c>
      <c r="J78" s="291">
        <v>289</v>
      </c>
      <c r="K78" s="291">
        <v>321</v>
      </c>
      <c r="L78" s="291">
        <v>126</v>
      </c>
      <c r="M78" s="291">
        <v>88</v>
      </c>
      <c r="N78" s="291">
        <v>97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69</v>
      </c>
      <c r="B79" s="266" t="s">
        <v>168</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169</v>
      </c>
      <c r="C80" s="271"/>
      <c r="D80" s="272"/>
      <c r="E80" s="288">
        <v>0</v>
      </c>
      <c r="F80" s="288">
        <v>0</v>
      </c>
      <c r="G80" s="288">
        <v>0</v>
      </c>
      <c r="H80" s="288">
        <v>0</v>
      </c>
      <c r="I80" s="288">
        <v>0</v>
      </c>
      <c r="J80" s="288">
        <v>1</v>
      </c>
      <c r="K80" s="288">
        <v>0.95299999999999996</v>
      </c>
      <c r="L80" s="288">
        <v>0.60099999999999998</v>
      </c>
      <c r="M80" s="288">
        <v>0.13200000000000001</v>
      </c>
      <c r="N80" s="288">
        <v>0</v>
      </c>
      <c r="O80" s="288">
        <v>0</v>
      </c>
      <c r="P80" s="288">
        <v>0</v>
      </c>
      <c r="Q80" s="288">
        <v>0</v>
      </c>
      <c r="R80" s="288">
        <v>0</v>
      </c>
      <c r="S80" s="288">
        <v>0</v>
      </c>
      <c r="T80" s="288">
        <v>0</v>
      </c>
      <c r="U80" s="288">
        <v>0</v>
      </c>
      <c r="V80" s="288">
        <v>0</v>
      </c>
      <c r="W80" s="288">
        <v>0</v>
      </c>
      <c r="X80" s="288">
        <v>0</v>
      </c>
      <c r="Y80" s="288">
        <v>0</v>
      </c>
      <c r="Z80" s="288">
        <v>0</v>
      </c>
      <c r="AA80" s="288">
        <v>0</v>
      </c>
      <c r="AB80" s="289">
        <v>0</v>
      </c>
    </row>
    <row r="81" spans="1:28" ht="15" customHeight="1" thickBot="1">
      <c r="A81" s="273"/>
      <c r="B81" s="274" t="s">
        <v>170</v>
      </c>
      <c r="C81" s="275"/>
      <c r="D81" s="276"/>
      <c r="E81" s="291">
        <v>0</v>
      </c>
      <c r="F81" s="291">
        <v>0</v>
      </c>
      <c r="G81" s="291">
        <v>0</v>
      </c>
      <c r="H81" s="291">
        <v>0</v>
      </c>
      <c r="I81" s="291">
        <v>0</v>
      </c>
      <c r="J81" s="291">
        <v>301</v>
      </c>
      <c r="K81" s="291">
        <v>467</v>
      </c>
      <c r="L81" s="291">
        <v>369</v>
      </c>
      <c r="M81" s="291">
        <v>149</v>
      </c>
      <c r="N81" s="291">
        <v>97</v>
      </c>
      <c r="O81" s="291">
        <v>101</v>
      </c>
      <c r="P81" s="291">
        <v>101</v>
      </c>
      <c r="Q81" s="291">
        <v>98</v>
      </c>
      <c r="R81" s="291">
        <v>91</v>
      </c>
      <c r="S81" s="291">
        <v>78</v>
      </c>
      <c r="T81" s="291">
        <v>55</v>
      </c>
      <c r="U81" s="291">
        <v>24</v>
      </c>
      <c r="V81" s="291">
        <v>3</v>
      </c>
      <c r="W81" s="291">
        <v>0</v>
      </c>
      <c r="X81" s="291">
        <v>0</v>
      </c>
      <c r="Y81" s="291">
        <v>0</v>
      </c>
      <c r="Z81" s="291">
        <v>0</v>
      </c>
      <c r="AA81" s="291">
        <v>0</v>
      </c>
      <c r="AB81" s="292">
        <v>0</v>
      </c>
    </row>
    <row r="82" spans="1:28" ht="15" customHeight="1">
      <c r="A82" s="265" t="s">
        <v>70</v>
      </c>
      <c r="B82" s="266" t="s">
        <v>168</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169</v>
      </c>
      <c r="C83" s="271"/>
      <c r="D83" s="272"/>
      <c r="E83" s="288">
        <v>0</v>
      </c>
      <c r="F83" s="288">
        <v>0</v>
      </c>
      <c r="G83" s="288">
        <v>0</v>
      </c>
      <c r="H83" s="288">
        <v>0</v>
      </c>
      <c r="I83" s="288">
        <v>0</v>
      </c>
      <c r="J83" s="288">
        <v>1.2999999999999999E-2</v>
      </c>
      <c r="K83" s="288">
        <v>0.23300000000000001</v>
      </c>
      <c r="L83" s="288">
        <v>0.156</v>
      </c>
      <c r="M83" s="288">
        <v>0</v>
      </c>
      <c r="N83" s="288">
        <v>0</v>
      </c>
      <c r="O83" s="288">
        <v>0</v>
      </c>
      <c r="P83" s="288">
        <v>0</v>
      </c>
      <c r="Q83" s="288">
        <v>0</v>
      </c>
      <c r="R83" s="288">
        <v>0</v>
      </c>
      <c r="S83" s="288">
        <v>0</v>
      </c>
      <c r="T83" s="288">
        <v>0</v>
      </c>
      <c r="U83" s="288">
        <v>0</v>
      </c>
      <c r="V83" s="288">
        <v>0</v>
      </c>
      <c r="W83" s="288">
        <v>0</v>
      </c>
      <c r="X83" s="288">
        <v>0</v>
      </c>
      <c r="Y83" s="288">
        <v>0</v>
      </c>
      <c r="Z83" s="288">
        <v>0</v>
      </c>
      <c r="AA83" s="288">
        <v>0</v>
      </c>
      <c r="AB83" s="289">
        <v>0</v>
      </c>
    </row>
    <row r="84" spans="1:28" ht="15" customHeight="1" thickBot="1">
      <c r="A84" s="273"/>
      <c r="B84" s="274" t="s">
        <v>170</v>
      </c>
      <c r="C84" s="275"/>
      <c r="D84" s="276"/>
      <c r="E84" s="291">
        <v>0</v>
      </c>
      <c r="F84" s="291">
        <v>0</v>
      </c>
      <c r="G84" s="291">
        <v>0</v>
      </c>
      <c r="H84" s="291">
        <v>0</v>
      </c>
      <c r="I84" s="291">
        <v>0</v>
      </c>
      <c r="J84" s="291">
        <v>20</v>
      </c>
      <c r="K84" s="291">
        <v>85</v>
      </c>
      <c r="L84" s="291">
        <v>116</v>
      </c>
      <c r="M84" s="291">
        <v>88</v>
      </c>
      <c r="N84" s="291">
        <v>97</v>
      </c>
      <c r="O84" s="291">
        <v>101</v>
      </c>
      <c r="P84" s="291">
        <v>101</v>
      </c>
      <c r="Q84" s="291">
        <v>98</v>
      </c>
      <c r="R84" s="291">
        <v>91</v>
      </c>
      <c r="S84" s="291">
        <v>78</v>
      </c>
      <c r="T84" s="291">
        <v>55</v>
      </c>
      <c r="U84" s="291">
        <v>24</v>
      </c>
      <c r="V84" s="291">
        <v>3</v>
      </c>
      <c r="W84" s="291">
        <v>0</v>
      </c>
      <c r="X84" s="291">
        <v>0</v>
      </c>
      <c r="Y84" s="291">
        <v>0</v>
      </c>
      <c r="Z84" s="291">
        <v>0</v>
      </c>
      <c r="AA84" s="291">
        <v>0</v>
      </c>
      <c r="AB84" s="292">
        <v>0</v>
      </c>
    </row>
    <row r="85" spans="1:28" ht="15" customHeight="1">
      <c r="A85" s="265" t="s">
        <v>71</v>
      </c>
      <c r="B85" s="266" t="s">
        <v>168</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169</v>
      </c>
      <c r="C86" s="271"/>
      <c r="D86" s="272"/>
      <c r="E86" s="288">
        <v>0</v>
      </c>
      <c r="F86" s="288">
        <v>0</v>
      </c>
      <c r="G86" s="288">
        <v>0</v>
      </c>
      <c r="H86" s="288">
        <v>0</v>
      </c>
      <c r="I86" s="288">
        <v>0</v>
      </c>
      <c r="J86" s="288">
        <v>0</v>
      </c>
      <c r="K86" s="288">
        <v>0</v>
      </c>
      <c r="L86" s="288">
        <v>0</v>
      </c>
      <c r="M86" s="288">
        <v>0</v>
      </c>
      <c r="N86" s="288">
        <v>0</v>
      </c>
      <c r="O86" s="288">
        <v>0</v>
      </c>
      <c r="P86" s="288">
        <v>0</v>
      </c>
      <c r="Q86" s="288">
        <v>0</v>
      </c>
      <c r="R86" s="288">
        <v>0</v>
      </c>
      <c r="S86" s="288">
        <v>3.5999999999999997E-2</v>
      </c>
      <c r="T86" s="288">
        <v>0.112</v>
      </c>
      <c r="U86" s="288">
        <v>0</v>
      </c>
      <c r="V86" s="288">
        <v>0</v>
      </c>
      <c r="W86" s="288">
        <v>0</v>
      </c>
      <c r="X86" s="288">
        <v>0</v>
      </c>
      <c r="Y86" s="288">
        <v>0</v>
      </c>
      <c r="Z86" s="288">
        <v>0</v>
      </c>
      <c r="AA86" s="288">
        <v>0</v>
      </c>
      <c r="AB86" s="289">
        <v>0</v>
      </c>
    </row>
    <row r="87" spans="1:28" ht="15" customHeight="1" thickBot="1">
      <c r="A87" s="273"/>
      <c r="B87" s="274" t="s">
        <v>170</v>
      </c>
      <c r="C87" s="275"/>
      <c r="D87" s="276"/>
      <c r="E87" s="291">
        <v>0</v>
      </c>
      <c r="F87" s="291">
        <v>0</v>
      </c>
      <c r="G87" s="291">
        <v>0</v>
      </c>
      <c r="H87" s="291">
        <v>0</v>
      </c>
      <c r="I87" s="291">
        <v>0</v>
      </c>
      <c r="J87" s="291">
        <v>19</v>
      </c>
      <c r="K87" s="291">
        <v>47</v>
      </c>
      <c r="L87" s="291">
        <v>72</v>
      </c>
      <c r="M87" s="291">
        <v>88</v>
      </c>
      <c r="N87" s="291">
        <v>97</v>
      </c>
      <c r="O87" s="291">
        <v>101</v>
      </c>
      <c r="P87" s="291">
        <v>101</v>
      </c>
      <c r="Q87" s="291">
        <v>98</v>
      </c>
      <c r="R87" s="291">
        <v>91</v>
      </c>
      <c r="S87" s="291">
        <v>90</v>
      </c>
      <c r="T87" s="291">
        <v>80</v>
      </c>
      <c r="U87" s="291">
        <v>24</v>
      </c>
      <c r="V87" s="291">
        <v>3</v>
      </c>
      <c r="W87" s="291">
        <v>0</v>
      </c>
      <c r="X87" s="291">
        <v>0</v>
      </c>
      <c r="Y87" s="291">
        <v>0</v>
      </c>
      <c r="Z87" s="291">
        <v>0</v>
      </c>
      <c r="AA87" s="291">
        <v>0</v>
      </c>
      <c r="AB87" s="292">
        <v>0</v>
      </c>
    </row>
    <row r="88" spans="1:28" ht="15" customHeight="1">
      <c r="A88" s="265" t="s">
        <v>72</v>
      </c>
      <c r="B88" s="266" t="s">
        <v>168</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169</v>
      </c>
      <c r="C89" s="271"/>
      <c r="D89" s="272"/>
      <c r="E89" s="288">
        <v>0</v>
      </c>
      <c r="F89" s="288">
        <v>0</v>
      </c>
      <c r="G89" s="288">
        <v>0</v>
      </c>
      <c r="H89" s="288">
        <v>0</v>
      </c>
      <c r="I89" s="288">
        <v>0</v>
      </c>
      <c r="J89" s="288">
        <v>0</v>
      </c>
      <c r="K89" s="288">
        <v>0</v>
      </c>
      <c r="L89" s="288">
        <v>0</v>
      </c>
      <c r="M89" s="288">
        <v>0</v>
      </c>
      <c r="N89" s="288">
        <v>0</v>
      </c>
      <c r="O89" s="288">
        <v>0</v>
      </c>
      <c r="P89" s="288">
        <v>0</v>
      </c>
      <c r="Q89" s="288">
        <v>0</v>
      </c>
      <c r="R89" s="288">
        <v>4.3999999999999997E-2</v>
      </c>
      <c r="S89" s="288">
        <v>0.51300000000000001</v>
      </c>
      <c r="T89" s="288">
        <v>0.88</v>
      </c>
      <c r="U89" s="288">
        <v>1</v>
      </c>
      <c r="V89" s="288">
        <v>0</v>
      </c>
      <c r="W89" s="288">
        <v>0</v>
      </c>
      <c r="X89" s="288">
        <v>0</v>
      </c>
      <c r="Y89" s="288">
        <v>0</v>
      </c>
      <c r="Z89" s="288">
        <v>0</v>
      </c>
      <c r="AA89" s="288">
        <v>0</v>
      </c>
      <c r="AB89" s="289">
        <v>0</v>
      </c>
    </row>
    <row r="90" spans="1:28" ht="15" customHeight="1" thickBot="1">
      <c r="A90" s="273"/>
      <c r="B90" s="274" t="s">
        <v>170</v>
      </c>
      <c r="C90" s="275"/>
      <c r="D90" s="276"/>
      <c r="E90" s="291">
        <v>0</v>
      </c>
      <c r="F90" s="291">
        <v>0</v>
      </c>
      <c r="G90" s="291">
        <v>0</v>
      </c>
      <c r="H90" s="291">
        <v>0</v>
      </c>
      <c r="I90" s="291">
        <v>0</v>
      </c>
      <c r="J90" s="291">
        <v>19</v>
      </c>
      <c r="K90" s="291">
        <v>47</v>
      </c>
      <c r="L90" s="291">
        <v>72</v>
      </c>
      <c r="M90" s="291">
        <v>88</v>
      </c>
      <c r="N90" s="291">
        <v>97</v>
      </c>
      <c r="O90" s="291">
        <v>101</v>
      </c>
      <c r="P90" s="291">
        <v>101</v>
      </c>
      <c r="Q90" s="291">
        <v>98</v>
      </c>
      <c r="R90" s="291">
        <v>111</v>
      </c>
      <c r="S90" s="291">
        <v>327</v>
      </c>
      <c r="T90" s="291">
        <v>424</v>
      </c>
      <c r="U90" s="291">
        <v>291</v>
      </c>
      <c r="V90" s="291">
        <v>3</v>
      </c>
      <c r="W90" s="291">
        <v>0</v>
      </c>
      <c r="X90" s="291">
        <v>0</v>
      </c>
      <c r="Y90" s="291">
        <v>0</v>
      </c>
      <c r="Z90" s="291">
        <v>0</v>
      </c>
      <c r="AA90" s="291">
        <v>0</v>
      </c>
      <c r="AB90" s="292">
        <v>0</v>
      </c>
    </row>
    <row r="91" spans="1:28" ht="15" customHeight="1">
      <c r="A91" s="265" t="s">
        <v>73</v>
      </c>
      <c r="B91" s="266" t="s">
        <v>168</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182</v>
      </c>
      <c r="C92" s="271"/>
      <c r="D92" s="272"/>
      <c r="E92" s="288">
        <v>0</v>
      </c>
      <c r="F92" s="288">
        <v>0</v>
      </c>
      <c r="G92" s="288">
        <v>0</v>
      </c>
      <c r="H92" s="288">
        <v>0</v>
      </c>
      <c r="I92" s="288">
        <v>0</v>
      </c>
      <c r="J92" s="288">
        <v>0</v>
      </c>
      <c r="K92" s="288">
        <v>0</v>
      </c>
      <c r="L92" s="288">
        <v>0</v>
      </c>
      <c r="M92" s="288">
        <v>0</v>
      </c>
      <c r="N92" s="288">
        <v>0</v>
      </c>
      <c r="O92" s="288">
        <v>0</v>
      </c>
      <c r="P92" s="288">
        <v>0</v>
      </c>
      <c r="Q92" s="288">
        <v>0</v>
      </c>
      <c r="R92" s="288">
        <v>0</v>
      </c>
      <c r="S92" s="288">
        <v>0.126</v>
      </c>
      <c r="T92" s="288">
        <v>0.71199999999999997</v>
      </c>
      <c r="U92" s="288">
        <v>1</v>
      </c>
      <c r="V92" s="288">
        <v>0</v>
      </c>
      <c r="W92" s="288">
        <v>0</v>
      </c>
      <c r="X92" s="288">
        <v>0</v>
      </c>
      <c r="Y92" s="288">
        <v>0</v>
      </c>
      <c r="Z92" s="288">
        <v>0</v>
      </c>
      <c r="AA92" s="288">
        <v>0</v>
      </c>
      <c r="AB92" s="289">
        <v>0</v>
      </c>
    </row>
    <row r="93" spans="1:28" ht="15" customHeight="1" thickBot="1">
      <c r="A93" s="273"/>
      <c r="B93" s="274" t="s">
        <v>170</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91</v>
      </c>
      <c r="S93" s="291">
        <v>116</v>
      </c>
      <c r="T93" s="291">
        <v>298</v>
      </c>
      <c r="U93" s="291">
        <v>282</v>
      </c>
      <c r="V93" s="291">
        <v>3</v>
      </c>
      <c r="W93" s="291">
        <v>0</v>
      </c>
      <c r="X93" s="291">
        <v>0</v>
      </c>
      <c r="Y93" s="291">
        <v>0</v>
      </c>
      <c r="Z93" s="291">
        <v>0</v>
      </c>
      <c r="AA93" s="291">
        <v>0</v>
      </c>
      <c r="AB93" s="292">
        <v>0</v>
      </c>
    </row>
    <row r="94" spans="1:28" ht="15" customHeight="1">
      <c r="A94" s="277" t="s">
        <v>74</v>
      </c>
      <c r="B94" s="266" t="s">
        <v>168</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169</v>
      </c>
      <c r="C95" s="271"/>
      <c r="D95" s="272"/>
      <c r="E95" s="288">
        <v>0</v>
      </c>
      <c r="F95" s="288">
        <v>0</v>
      </c>
      <c r="G95" s="288">
        <v>0</v>
      </c>
      <c r="H95" s="288">
        <v>0</v>
      </c>
      <c r="I95" s="288">
        <v>0</v>
      </c>
      <c r="J95" s="288">
        <v>0</v>
      </c>
      <c r="K95" s="288">
        <v>0</v>
      </c>
      <c r="L95" s="288">
        <v>0</v>
      </c>
      <c r="M95" s="288">
        <v>0</v>
      </c>
      <c r="N95" s="288">
        <v>0</v>
      </c>
      <c r="O95" s="288">
        <v>0</v>
      </c>
      <c r="P95" s="288">
        <v>0</v>
      </c>
      <c r="Q95" s="288">
        <v>0</v>
      </c>
      <c r="R95" s="288">
        <v>0</v>
      </c>
      <c r="S95" s="288">
        <v>0</v>
      </c>
      <c r="T95" s="288">
        <v>0</v>
      </c>
      <c r="U95" s="288">
        <v>0</v>
      </c>
      <c r="V95" s="288">
        <v>0</v>
      </c>
      <c r="W95" s="288">
        <v>0</v>
      </c>
      <c r="X95" s="288">
        <v>0</v>
      </c>
      <c r="Y95" s="288">
        <v>0</v>
      </c>
      <c r="Z95" s="288">
        <v>0</v>
      </c>
      <c r="AA95" s="288">
        <v>0</v>
      </c>
      <c r="AB95" s="289">
        <v>0</v>
      </c>
    </row>
    <row r="96" spans="1:28" ht="15" customHeight="1" thickBot="1">
      <c r="A96" s="279"/>
      <c r="B96" s="274" t="s">
        <v>170</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24</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187</v>
      </c>
    </row>
    <row r="6" spans="1:5" ht="30" customHeight="1">
      <c r="A6" s="6"/>
    </row>
    <row r="7" spans="1:5" ht="30" customHeight="1">
      <c r="A7" s="6" t="s">
        <v>188</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06"/>
  <sheetViews>
    <sheetView showGridLines="0" workbookViewId="0">
      <selection activeCell="A6" sqref="A6"/>
    </sheetView>
  </sheetViews>
  <sheetFormatPr defaultColWidth="8.5703125" defaultRowHeight="13.5" customHeight="1"/>
  <cols>
    <col min="1" max="1" width="20.140625" style="302" customWidth="1"/>
    <col min="2" max="2" width="3" style="363" customWidth="1"/>
    <col min="3" max="3" width="23.5703125" style="302" customWidth="1"/>
    <col min="4" max="4" width="7.140625" style="364" customWidth="1"/>
    <col min="5" max="6" width="10.5703125" style="365" customWidth="1"/>
    <col min="7" max="7" width="20.140625" style="302" customWidth="1"/>
    <col min="8" max="8" width="3" style="363" customWidth="1"/>
    <col min="9" max="9" width="23.5703125" style="302" customWidth="1"/>
    <col min="10" max="10" width="7.140625" style="364" customWidth="1"/>
    <col min="11" max="12" width="10.5703125" style="365" customWidth="1"/>
    <col min="13" max="16384" width="8.5703125" style="302"/>
  </cols>
  <sheetData>
    <row r="1" spans="1:13" s="297" customFormat="1" ht="18" customHeight="1">
      <c r="A1" s="293" t="s">
        <v>189</v>
      </c>
      <c r="B1" s="294"/>
      <c r="C1" s="294"/>
      <c r="D1" s="294"/>
      <c r="E1" s="294"/>
      <c r="F1" s="294"/>
      <c r="G1" s="294"/>
      <c r="H1" s="295"/>
      <c r="I1" s="295"/>
      <c r="J1" s="294"/>
      <c r="K1" s="294"/>
      <c r="L1" s="296"/>
    </row>
    <row r="2" spans="1:13" ht="6.95" customHeight="1">
      <c r="A2" s="298"/>
      <c r="B2" s="299"/>
      <c r="C2" s="298"/>
      <c r="D2" s="300"/>
      <c r="E2" s="301"/>
      <c r="F2" s="301"/>
      <c r="G2" s="298"/>
      <c r="H2" s="299"/>
      <c r="I2" s="298"/>
      <c r="J2" s="300"/>
      <c r="K2" s="301"/>
      <c r="L2" s="301"/>
    </row>
    <row r="3" spans="1:13" ht="13.5" customHeight="1">
      <c r="A3" s="303" t="s">
        <v>190</v>
      </c>
      <c r="B3" s="304" t="s">
        <v>191</v>
      </c>
      <c r="C3" s="305" t="s">
        <v>192</v>
      </c>
      <c r="D3" s="306" t="s">
        <v>193</v>
      </c>
      <c r="E3" s="307" t="s">
        <v>194</v>
      </c>
      <c r="F3" s="308" t="s">
        <v>195</v>
      </c>
      <c r="G3" s="303" t="s">
        <v>190</v>
      </c>
      <c r="H3" s="304" t="s">
        <v>191</v>
      </c>
      <c r="I3" s="305" t="s">
        <v>192</v>
      </c>
      <c r="J3" s="306" t="s">
        <v>196</v>
      </c>
      <c r="K3" s="307" t="s">
        <v>197</v>
      </c>
      <c r="L3" s="309" t="s">
        <v>198</v>
      </c>
    </row>
    <row r="4" spans="1:13" ht="13.5" customHeight="1">
      <c r="A4" s="310"/>
      <c r="B4" s="311"/>
      <c r="C4" s="312"/>
      <c r="D4" s="313"/>
      <c r="E4" s="314"/>
      <c r="F4" s="315"/>
      <c r="G4" s="310"/>
      <c r="H4" s="316"/>
      <c r="I4" s="312"/>
      <c r="J4" s="313"/>
      <c r="K4" s="314"/>
      <c r="L4" s="317"/>
    </row>
    <row r="5" spans="1:13" ht="13.5" customHeight="1">
      <c r="A5" s="310"/>
      <c r="B5" s="311"/>
      <c r="C5" s="312"/>
      <c r="D5" s="313"/>
      <c r="E5" s="314"/>
      <c r="F5" s="315"/>
      <c r="G5" s="310"/>
      <c r="H5" s="316"/>
      <c r="I5" s="312"/>
      <c r="J5" s="313"/>
      <c r="K5" s="314"/>
      <c r="L5" s="317"/>
    </row>
    <row r="6" spans="1:13" ht="13.5" customHeight="1">
      <c r="A6" s="318" t="s">
        <v>200</v>
      </c>
      <c r="B6" s="319"/>
      <c r="C6" s="320" t="s">
        <v>204</v>
      </c>
      <c r="D6" s="367" t="s">
        <v>205</v>
      </c>
      <c r="E6" s="322" t="s">
        <v>206</v>
      </c>
      <c r="F6" s="323">
        <v>4.2999999999999997E-2</v>
      </c>
      <c r="G6" s="318" t="s">
        <v>219</v>
      </c>
      <c r="H6" s="319">
        <v>1</v>
      </c>
      <c r="I6" s="372" t="s">
        <v>221</v>
      </c>
      <c r="J6" s="321"/>
      <c r="K6" s="322"/>
      <c r="L6" s="323"/>
      <c r="M6" s="366" t="s">
        <v>199</v>
      </c>
    </row>
    <row r="7" spans="1:13" ht="13.5" customHeight="1">
      <c r="A7" s="324" t="s">
        <v>201</v>
      </c>
      <c r="B7" s="325">
        <v>1</v>
      </c>
      <c r="C7" s="326" t="s">
        <v>207</v>
      </c>
      <c r="D7" s="327">
        <v>0.10000000149011612</v>
      </c>
      <c r="E7" s="328">
        <v>0.19</v>
      </c>
      <c r="F7" s="329">
        <v>0.52600000000000002</v>
      </c>
      <c r="G7" s="324" t="s">
        <v>220</v>
      </c>
      <c r="H7" s="325"/>
      <c r="I7" s="373"/>
      <c r="J7" s="327"/>
      <c r="K7" s="328"/>
      <c r="L7" s="329"/>
    </row>
    <row r="8" spans="1:13" ht="13.5" customHeight="1">
      <c r="A8" s="324" t="s">
        <v>202</v>
      </c>
      <c r="B8" s="325">
        <v>2</v>
      </c>
      <c r="C8" s="326" t="s">
        <v>208</v>
      </c>
      <c r="D8" s="327">
        <v>2.500000037252903E-2</v>
      </c>
      <c r="E8" s="328">
        <v>0.04</v>
      </c>
      <c r="F8" s="329">
        <v>0.625</v>
      </c>
      <c r="G8" s="324"/>
      <c r="H8" s="325"/>
      <c r="I8" s="326" t="s">
        <v>222</v>
      </c>
      <c r="J8" s="327"/>
      <c r="K8" s="328"/>
      <c r="L8" s="329"/>
    </row>
    <row r="9" spans="1:13" ht="13.5" customHeight="1">
      <c r="A9" s="324" t="s">
        <v>203</v>
      </c>
      <c r="B9" s="325">
        <v>3</v>
      </c>
      <c r="C9" s="326" t="s">
        <v>209</v>
      </c>
      <c r="D9" s="368" t="s">
        <v>205</v>
      </c>
      <c r="E9" s="369" t="s">
        <v>205</v>
      </c>
      <c r="F9" s="329">
        <v>7.0000000000000007E-2</v>
      </c>
      <c r="G9" s="324"/>
      <c r="H9" s="325"/>
      <c r="I9" s="326" t="s">
        <v>223</v>
      </c>
      <c r="J9" s="327"/>
      <c r="K9" s="328"/>
      <c r="L9" s="329"/>
    </row>
    <row r="10" spans="1:13" ht="13.5" customHeight="1">
      <c r="A10" s="324"/>
      <c r="B10" s="325">
        <v>4</v>
      </c>
      <c r="C10" s="326" t="s">
        <v>210</v>
      </c>
      <c r="D10" s="327">
        <v>1.2000000104308128E-2</v>
      </c>
      <c r="E10" s="328">
        <v>0.22</v>
      </c>
      <c r="F10" s="329">
        <v>5.5E-2</v>
      </c>
      <c r="G10" s="324"/>
      <c r="H10" s="325"/>
      <c r="I10" s="326"/>
      <c r="J10" s="327"/>
      <c r="K10" s="328"/>
      <c r="L10" s="329"/>
    </row>
    <row r="11" spans="1:13" ht="13.5" customHeight="1">
      <c r="A11" s="324"/>
      <c r="B11" s="325">
        <v>5</v>
      </c>
      <c r="C11" s="326" t="s">
        <v>211</v>
      </c>
      <c r="D11" s="327">
        <v>6.0000000521540642E-3</v>
      </c>
      <c r="E11" s="328">
        <v>0.2</v>
      </c>
      <c r="F11" s="329">
        <v>0.03</v>
      </c>
      <c r="G11" s="324"/>
      <c r="H11" s="325"/>
      <c r="I11" s="326"/>
      <c r="J11" s="327"/>
      <c r="K11" s="328"/>
      <c r="L11" s="329"/>
    </row>
    <row r="12" spans="1:13" ht="13.5" customHeight="1">
      <c r="A12" s="324"/>
      <c r="B12" s="325"/>
      <c r="C12" s="326" t="s">
        <v>212</v>
      </c>
      <c r="D12" s="368" t="s">
        <v>205</v>
      </c>
      <c r="E12" s="328" t="s">
        <v>213</v>
      </c>
      <c r="F12" s="329">
        <v>0.111</v>
      </c>
      <c r="G12" s="324"/>
      <c r="H12" s="325"/>
      <c r="I12" s="326"/>
      <c r="J12" s="327"/>
      <c r="K12" s="328"/>
      <c r="L12" s="329"/>
    </row>
    <row r="13" spans="1:13" ht="13.5" customHeight="1">
      <c r="A13" s="324"/>
      <c r="B13" s="325"/>
      <c r="C13" s="326"/>
      <c r="D13" s="327"/>
      <c r="E13" s="328"/>
      <c r="F13" s="329"/>
      <c r="G13" s="324"/>
      <c r="H13" s="325"/>
      <c r="I13" s="326"/>
      <c r="J13" s="327"/>
      <c r="K13" s="328"/>
      <c r="L13" s="329"/>
    </row>
    <row r="14" spans="1:13" ht="13.5" customHeight="1">
      <c r="A14" s="324"/>
      <c r="B14" s="325"/>
      <c r="C14" s="326"/>
      <c r="D14" s="327"/>
      <c r="E14" s="328"/>
      <c r="F14" s="329"/>
      <c r="G14" s="324"/>
      <c r="H14" s="325"/>
      <c r="I14" s="326"/>
      <c r="J14" s="327"/>
      <c r="K14" s="328"/>
      <c r="L14" s="329"/>
    </row>
    <row r="15" spans="1:13" ht="13.5" customHeight="1">
      <c r="A15" s="324"/>
      <c r="B15" s="325"/>
      <c r="C15" s="326"/>
      <c r="D15" s="327"/>
      <c r="E15" s="328"/>
      <c r="F15" s="329"/>
      <c r="G15" s="324"/>
      <c r="H15" s="325"/>
      <c r="I15" s="326"/>
      <c r="J15" s="327"/>
      <c r="K15" s="328"/>
      <c r="L15" s="329"/>
    </row>
    <row r="16" spans="1:13" ht="13.5" customHeight="1">
      <c r="A16" s="324"/>
      <c r="B16" s="325"/>
      <c r="C16" s="326"/>
      <c r="D16" s="327"/>
      <c r="E16" s="328"/>
      <c r="F16" s="329"/>
      <c r="G16" s="324"/>
      <c r="H16" s="325"/>
      <c r="I16" s="326"/>
      <c r="J16" s="327"/>
      <c r="K16" s="328"/>
      <c r="L16" s="329"/>
    </row>
    <row r="17" spans="1:12" ht="13.5" customHeight="1">
      <c r="A17" s="324"/>
      <c r="B17" s="325"/>
      <c r="C17" s="326"/>
      <c r="D17" s="327"/>
      <c r="E17" s="328"/>
      <c r="F17" s="329"/>
      <c r="G17" s="324"/>
      <c r="H17" s="325"/>
      <c r="I17" s="326"/>
      <c r="J17" s="327"/>
      <c r="K17" s="328"/>
      <c r="L17" s="329"/>
    </row>
    <row r="18" spans="1:12" ht="13.5" customHeight="1">
      <c r="A18" s="324"/>
      <c r="B18" s="325"/>
      <c r="C18" s="326"/>
      <c r="D18" s="327"/>
      <c r="E18" s="328"/>
      <c r="F18" s="329"/>
      <c r="G18" s="324"/>
      <c r="H18" s="325"/>
      <c r="I18" s="326"/>
      <c r="J18" s="327"/>
      <c r="K18" s="328"/>
      <c r="L18" s="329"/>
    </row>
    <row r="19" spans="1:12" ht="13.5" customHeight="1">
      <c r="A19" s="324"/>
      <c r="B19" s="325"/>
      <c r="C19" s="326"/>
      <c r="D19" s="327"/>
      <c r="E19" s="328"/>
      <c r="F19" s="329"/>
      <c r="G19" s="324"/>
      <c r="H19" s="325"/>
      <c r="I19" s="326"/>
      <c r="J19" s="327"/>
      <c r="K19" s="328"/>
      <c r="L19" s="329"/>
    </row>
    <row r="20" spans="1:12" ht="13.5" customHeight="1">
      <c r="A20" s="330"/>
      <c r="B20" s="331"/>
      <c r="C20" s="332"/>
      <c r="D20" s="333"/>
      <c r="E20" s="334"/>
      <c r="F20" s="335"/>
      <c r="G20" s="330"/>
      <c r="H20" s="331"/>
      <c r="I20" s="332"/>
      <c r="J20" s="333"/>
      <c r="K20" s="334"/>
      <c r="L20" s="335"/>
    </row>
    <row r="21" spans="1:12" ht="13.5" customHeight="1">
      <c r="A21" s="336"/>
      <c r="B21" s="337"/>
      <c r="C21" s="336" t="s">
        <v>214</v>
      </c>
      <c r="D21" s="338"/>
      <c r="E21" s="338"/>
      <c r="F21" s="339">
        <v>1.46</v>
      </c>
      <c r="G21" s="336"/>
      <c r="H21" s="337"/>
      <c r="I21" s="336"/>
      <c r="J21" s="338"/>
      <c r="K21" s="338"/>
      <c r="L21" s="339"/>
    </row>
    <row r="22" spans="1:12" ht="13.5" customHeight="1">
      <c r="A22" s="340"/>
      <c r="B22" s="341"/>
      <c r="C22" s="342" t="s">
        <v>215</v>
      </c>
      <c r="D22" s="343"/>
      <c r="E22" s="344"/>
      <c r="F22" s="345"/>
      <c r="G22" s="340"/>
      <c r="H22" s="341"/>
      <c r="I22" s="342" t="s">
        <v>225</v>
      </c>
      <c r="J22" s="343"/>
      <c r="K22" s="344" t="s">
        <v>224</v>
      </c>
      <c r="L22" s="345"/>
    </row>
    <row r="23" spans="1:12" ht="13.5" customHeight="1">
      <c r="A23" s="324" t="s">
        <v>200</v>
      </c>
      <c r="B23" s="325"/>
      <c r="C23" s="346" t="s">
        <v>204</v>
      </c>
      <c r="D23" s="370" t="s">
        <v>205</v>
      </c>
      <c r="E23" s="348" t="s">
        <v>206</v>
      </c>
      <c r="F23" s="349">
        <v>4.2999999999999997E-2</v>
      </c>
      <c r="G23" s="324" t="s">
        <v>219</v>
      </c>
      <c r="H23" s="325">
        <v>1</v>
      </c>
      <c r="I23" s="374" t="s">
        <v>221</v>
      </c>
      <c r="J23" s="347"/>
      <c r="K23" s="348"/>
      <c r="L23" s="349"/>
    </row>
    <row r="24" spans="1:12" ht="13.5" customHeight="1">
      <c r="A24" s="324" t="s">
        <v>216</v>
      </c>
      <c r="B24" s="325">
        <v>1</v>
      </c>
      <c r="C24" s="346" t="s">
        <v>207</v>
      </c>
      <c r="D24" s="347">
        <v>0.10000000149011612</v>
      </c>
      <c r="E24" s="348">
        <v>0.19</v>
      </c>
      <c r="F24" s="349">
        <v>0.52600000000000002</v>
      </c>
      <c r="G24" s="324" t="s">
        <v>226</v>
      </c>
      <c r="H24" s="325"/>
      <c r="I24" s="373"/>
      <c r="J24" s="347"/>
      <c r="K24" s="348"/>
      <c r="L24" s="349"/>
    </row>
    <row r="25" spans="1:12" ht="13.5" customHeight="1">
      <c r="A25" s="324" t="s">
        <v>202</v>
      </c>
      <c r="B25" s="325">
        <v>2</v>
      </c>
      <c r="C25" s="346" t="s">
        <v>217</v>
      </c>
      <c r="D25" s="347">
        <v>2.500000037252903E-2</v>
      </c>
      <c r="E25" s="348">
        <v>3.4000000000000002E-2</v>
      </c>
      <c r="F25" s="349">
        <v>0.73499999999999999</v>
      </c>
      <c r="G25" s="324"/>
      <c r="H25" s="325"/>
      <c r="I25" s="346" t="s">
        <v>227</v>
      </c>
      <c r="J25" s="347"/>
      <c r="K25" s="348"/>
      <c r="L25" s="349"/>
    </row>
    <row r="26" spans="1:12" ht="13.5" customHeight="1">
      <c r="A26" s="324" t="s">
        <v>203</v>
      </c>
      <c r="B26" s="325">
        <v>3</v>
      </c>
      <c r="C26" s="346" t="s">
        <v>209</v>
      </c>
      <c r="D26" s="370" t="s">
        <v>205</v>
      </c>
      <c r="E26" s="371" t="s">
        <v>205</v>
      </c>
      <c r="F26" s="349">
        <v>7.0000000000000007E-2</v>
      </c>
      <c r="G26" s="324"/>
      <c r="H26" s="325"/>
      <c r="I26" s="346" t="s">
        <v>223</v>
      </c>
      <c r="J26" s="347"/>
      <c r="K26" s="348"/>
      <c r="L26" s="349"/>
    </row>
    <row r="27" spans="1:12" ht="13.5" customHeight="1">
      <c r="A27" s="324"/>
      <c r="B27" s="325">
        <v>4</v>
      </c>
      <c r="C27" s="346" t="s">
        <v>210</v>
      </c>
      <c r="D27" s="347">
        <v>1.2000000104308128E-2</v>
      </c>
      <c r="E27" s="348">
        <v>0.22</v>
      </c>
      <c r="F27" s="349">
        <v>5.5E-2</v>
      </c>
      <c r="G27" s="324"/>
      <c r="H27" s="325"/>
      <c r="I27" s="346"/>
      <c r="J27" s="347"/>
      <c r="K27" s="348"/>
      <c r="L27" s="349"/>
    </row>
    <row r="28" spans="1:12" ht="13.5" customHeight="1">
      <c r="A28" s="324"/>
      <c r="B28" s="325"/>
      <c r="C28" s="346" t="s">
        <v>212</v>
      </c>
      <c r="D28" s="370" t="s">
        <v>205</v>
      </c>
      <c r="E28" s="348" t="s">
        <v>213</v>
      </c>
      <c r="F28" s="349">
        <v>0.111</v>
      </c>
      <c r="G28" s="324"/>
      <c r="H28" s="325"/>
      <c r="I28" s="346"/>
      <c r="J28" s="347"/>
      <c r="K28" s="348"/>
      <c r="L28" s="349"/>
    </row>
    <row r="29" spans="1:12" ht="13.5" customHeight="1">
      <c r="A29" s="324"/>
      <c r="B29" s="325"/>
      <c r="C29" s="346"/>
      <c r="D29" s="347"/>
      <c r="E29" s="348"/>
      <c r="F29" s="349"/>
      <c r="G29" s="324"/>
      <c r="H29" s="325"/>
      <c r="I29" s="346"/>
      <c r="J29" s="347"/>
      <c r="K29" s="348"/>
      <c r="L29" s="349"/>
    </row>
    <row r="30" spans="1:12" ht="13.5" customHeight="1">
      <c r="A30" s="324"/>
      <c r="B30" s="325"/>
      <c r="C30" s="346"/>
      <c r="D30" s="347"/>
      <c r="E30" s="348"/>
      <c r="F30" s="349"/>
      <c r="G30" s="324"/>
      <c r="H30" s="325"/>
      <c r="I30" s="346"/>
      <c r="J30" s="347"/>
      <c r="K30" s="348"/>
      <c r="L30" s="349"/>
    </row>
    <row r="31" spans="1:12" ht="13.5" customHeight="1">
      <c r="A31" s="324"/>
      <c r="B31" s="325"/>
      <c r="C31" s="346"/>
      <c r="D31" s="347"/>
      <c r="E31" s="348"/>
      <c r="F31" s="349"/>
      <c r="G31" s="324"/>
      <c r="H31" s="325"/>
      <c r="I31" s="346"/>
      <c r="J31" s="347"/>
      <c r="K31" s="348"/>
      <c r="L31" s="349"/>
    </row>
    <row r="32" spans="1:12" ht="13.5" customHeight="1">
      <c r="A32" s="324"/>
      <c r="B32" s="325"/>
      <c r="C32" s="346"/>
      <c r="D32" s="347"/>
      <c r="E32" s="348"/>
      <c r="F32" s="349"/>
      <c r="G32" s="324"/>
      <c r="H32" s="325"/>
      <c r="I32" s="346"/>
      <c r="J32" s="347"/>
      <c r="K32" s="348"/>
      <c r="L32" s="349"/>
    </row>
    <row r="33" spans="1:12" ht="13.5" customHeight="1">
      <c r="A33" s="324"/>
      <c r="B33" s="325"/>
      <c r="C33" s="346"/>
      <c r="D33" s="347"/>
      <c r="E33" s="348"/>
      <c r="F33" s="349"/>
      <c r="G33" s="324"/>
      <c r="H33" s="325"/>
      <c r="I33" s="346"/>
      <c r="J33" s="347"/>
      <c r="K33" s="348"/>
      <c r="L33" s="349"/>
    </row>
    <row r="34" spans="1:12" ht="13.5" customHeight="1">
      <c r="A34" s="324"/>
      <c r="B34" s="325"/>
      <c r="C34" s="346"/>
      <c r="D34" s="347"/>
      <c r="E34" s="348"/>
      <c r="F34" s="349"/>
      <c r="G34" s="324"/>
      <c r="H34" s="325"/>
      <c r="I34" s="346"/>
      <c r="J34" s="347"/>
      <c r="K34" s="348"/>
      <c r="L34" s="349"/>
    </row>
    <row r="35" spans="1:12" ht="13.5" customHeight="1">
      <c r="A35" s="324"/>
      <c r="B35" s="325"/>
      <c r="C35" s="346"/>
      <c r="D35" s="347"/>
      <c r="E35" s="348"/>
      <c r="F35" s="349"/>
      <c r="G35" s="324"/>
      <c r="H35" s="325"/>
      <c r="I35" s="346"/>
      <c r="J35" s="347"/>
      <c r="K35" s="348"/>
      <c r="L35" s="349"/>
    </row>
    <row r="36" spans="1:12" ht="13.5" customHeight="1">
      <c r="A36" s="324"/>
      <c r="B36" s="325"/>
      <c r="C36" s="346"/>
      <c r="D36" s="347"/>
      <c r="E36" s="348"/>
      <c r="F36" s="349"/>
      <c r="G36" s="324"/>
      <c r="H36" s="325"/>
      <c r="I36" s="346"/>
      <c r="J36" s="347"/>
      <c r="K36" s="348"/>
      <c r="L36" s="349"/>
    </row>
    <row r="37" spans="1:12" ht="13.5" customHeight="1">
      <c r="A37" s="330"/>
      <c r="B37" s="331"/>
      <c r="C37" s="350"/>
      <c r="D37" s="351"/>
      <c r="E37" s="352"/>
      <c r="F37" s="353"/>
      <c r="G37" s="330"/>
      <c r="H37" s="331"/>
      <c r="I37" s="350"/>
      <c r="J37" s="351"/>
      <c r="K37" s="352"/>
      <c r="L37" s="353"/>
    </row>
    <row r="38" spans="1:12" ht="13.5" customHeight="1">
      <c r="A38" s="336"/>
      <c r="B38" s="337"/>
      <c r="C38" s="354" t="s">
        <v>214</v>
      </c>
      <c r="D38" s="355"/>
      <c r="E38" s="355"/>
      <c r="F38" s="356">
        <v>1.54</v>
      </c>
      <c r="G38" s="336"/>
      <c r="H38" s="337"/>
      <c r="I38" s="354"/>
      <c r="J38" s="355"/>
      <c r="K38" s="355"/>
      <c r="L38" s="356"/>
    </row>
    <row r="39" spans="1:12" ht="13.5" customHeight="1">
      <c r="A39" s="357"/>
      <c r="B39" s="358"/>
      <c r="C39" s="359" t="s">
        <v>218</v>
      </c>
      <c r="D39" s="360"/>
      <c r="E39" s="361"/>
      <c r="F39" s="362"/>
      <c r="G39" s="357"/>
      <c r="H39" s="358"/>
      <c r="I39" s="359" t="s">
        <v>229</v>
      </c>
      <c r="J39" s="360"/>
      <c r="K39" s="361" t="s">
        <v>228</v>
      </c>
      <c r="L39" s="362"/>
    </row>
    <row r="40" spans="1:12" ht="13.5" customHeight="1">
      <c r="A40" s="318" t="s">
        <v>219</v>
      </c>
      <c r="B40" s="319">
        <v>1</v>
      </c>
      <c r="C40" s="372" t="s">
        <v>231</v>
      </c>
      <c r="D40" s="321"/>
      <c r="E40" s="322"/>
      <c r="F40" s="323"/>
      <c r="G40" s="318" t="s">
        <v>234</v>
      </c>
      <c r="H40" s="319"/>
      <c r="I40" s="320" t="s">
        <v>204</v>
      </c>
      <c r="J40" s="367" t="s">
        <v>205</v>
      </c>
      <c r="K40" s="322" t="s">
        <v>206</v>
      </c>
      <c r="L40" s="323">
        <v>4.2999999999999997E-2</v>
      </c>
    </row>
    <row r="41" spans="1:12" ht="13.5" customHeight="1">
      <c r="A41" s="324" t="s">
        <v>230</v>
      </c>
      <c r="B41" s="325"/>
      <c r="C41" s="373"/>
      <c r="D41" s="327"/>
      <c r="E41" s="328"/>
      <c r="F41" s="329"/>
      <c r="G41" s="324" t="s">
        <v>242</v>
      </c>
      <c r="H41" s="325">
        <v>1</v>
      </c>
      <c r="I41" s="326" t="s">
        <v>237</v>
      </c>
      <c r="J41" s="327">
        <v>0.10000000149011612</v>
      </c>
      <c r="K41" s="328">
        <v>0.5</v>
      </c>
      <c r="L41" s="329">
        <v>0.2</v>
      </c>
    </row>
    <row r="42" spans="1:12" ht="13.5" customHeight="1">
      <c r="A42" s="324"/>
      <c r="B42" s="325"/>
      <c r="C42" s="326" t="s">
        <v>222</v>
      </c>
      <c r="D42" s="327"/>
      <c r="E42" s="328"/>
      <c r="F42" s="329"/>
      <c r="G42" s="324" t="s">
        <v>236</v>
      </c>
      <c r="H42" s="325">
        <v>2</v>
      </c>
      <c r="I42" s="326" t="s">
        <v>238</v>
      </c>
      <c r="J42" s="327">
        <v>5.000000074505806E-2</v>
      </c>
      <c r="K42" s="328">
        <v>3.4000000000000002E-2</v>
      </c>
      <c r="L42" s="329">
        <v>1.4710000000000001</v>
      </c>
    </row>
    <row r="43" spans="1:12" ht="13.5" customHeight="1">
      <c r="A43" s="324"/>
      <c r="B43" s="325"/>
      <c r="C43" s="326" t="s">
        <v>223</v>
      </c>
      <c r="D43" s="327"/>
      <c r="E43" s="328"/>
      <c r="F43" s="329"/>
      <c r="G43" s="324" t="s">
        <v>203</v>
      </c>
      <c r="H43" s="325">
        <v>3</v>
      </c>
      <c r="I43" s="326" t="s">
        <v>239</v>
      </c>
      <c r="J43" s="327">
        <v>9.9999997764825821E-3</v>
      </c>
      <c r="K43" s="328">
        <v>0.11</v>
      </c>
      <c r="L43" s="329">
        <v>9.0999999999999998E-2</v>
      </c>
    </row>
    <row r="44" spans="1:12" ht="13.5" customHeight="1">
      <c r="A44" s="324"/>
      <c r="B44" s="325"/>
      <c r="C44" s="326"/>
      <c r="D44" s="327"/>
      <c r="E44" s="328"/>
      <c r="F44" s="329"/>
      <c r="G44" s="324"/>
      <c r="H44" s="325">
        <v>4</v>
      </c>
      <c r="I44" s="326" t="s">
        <v>240</v>
      </c>
      <c r="J44" s="327">
        <v>0.15000000596046448</v>
      </c>
      <c r="K44" s="328">
        <v>1.6</v>
      </c>
      <c r="L44" s="329">
        <v>9.4E-2</v>
      </c>
    </row>
    <row r="45" spans="1:12" ht="13.5" customHeight="1">
      <c r="A45" s="324"/>
      <c r="B45" s="325"/>
      <c r="C45" s="326"/>
      <c r="D45" s="327"/>
      <c r="E45" s="328"/>
      <c r="F45" s="329"/>
      <c r="G45" s="324"/>
      <c r="H45" s="325">
        <v>5</v>
      </c>
      <c r="I45" s="326" t="s">
        <v>209</v>
      </c>
      <c r="J45" s="368" t="s">
        <v>205</v>
      </c>
      <c r="K45" s="369" t="s">
        <v>205</v>
      </c>
      <c r="L45" s="329">
        <v>7.0000000000000007E-2</v>
      </c>
    </row>
    <row r="46" spans="1:12" ht="13.5" customHeight="1">
      <c r="A46" s="324"/>
      <c r="B46" s="325"/>
      <c r="C46" s="326"/>
      <c r="D46" s="327"/>
      <c r="E46" s="328"/>
      <c r="F46" s="329"/>
      <c r="G46" s="324"/>
      <c r="H46" s="325">
        <v>6</v>
      </c>
      <c r="I46" s="326" t="s">
        <v>210</v>
      </c>
      <c r="J46" s="327">
        <v>8.999999612569809E-3</v>
      </c>
      <c r="K46" s="328">
        <v>0.22</v>
      </c>
      <c r="L46" s="329">
        <v>4.1000000000000002E-2</v>
      </c>
    </row>
    <row r="47" spans="1:12" ht="13.5" customHeight="1">
      <c r="A47" s="324"/>
      <c r="B47" s="325"/>
      <c r="C47" s="326"/>
      <c r="D47" s="327"/>
      <c r="E47" s="328"/>
      <c r="F47" s="329"/>
      <c r="G47" s="324"/>
      <c r="H47" s="325">
        <v>7</v>
      </c>
      <c r="I47" s="326" t="s">
        <v>211</v>
      </c>
      <c r="J47" s="327">
        <v>6.0000000521540642E-3</v>
      </c>
      <c r="K47" s="328">
        <v>0.2</v>
      </c>
      <c r="L47" s="329">
        <v>0.03</v>
      </c>
    </row>
    <row r="48" spans="1:12" ht="13.5" customHeight="1">
      <c r="A48" s="324"/>
      <c r="B48" s="325"/>
      <c r="C48" s="326"/>
      <c r="D48" s="327"/>
      <c r="E48" s="328"/>
      <c r="F48" s="329"/>
      <c r="G48" s="324"/>
      <c r="H48" s="325"/>
      <c r="I48" s="326" t="s">
        <v>212</v>
      </c>
      <c r="J48" s="368" t="s">
        <v>205</v>
      </c>
      <c r="K48" s="328" t="s">
        <v>213</v>
      </c>
      <c r="L48" s="329">
        <v>0.111</v>
      </c>
    </row>
    <row r="49" spans="1:12" ht="13.5" customHeight="1">
      <c r="A49" s="324"/>
      <c r="B49" s="325"/>
      <c r="C49" s="326"/>
      <c r="D49" s="327"/>
      <c r="E49" s="328"/>
      <c r="F49" s="329"/>
      <c r="G49" s="324"/>
      <c r="H49" s="325"/>
      <c r="I49" s="326"/>
      <c r="J49" s="327"/>
      <c r="K49" s="328"/>
      <c r="L49" s="329"/>
    </row>
    <row r="50" spans="1:12" ht="13.5" customHeight="1">
      <c r="A50" s="324"/>
      <c r="B50" s="325"/>
      <c r="C50" s="326"/>
      <c r="D50" s="327"/>
      <c r="E50" s="328"/>
      <c r="F50" s="329"/>
      <c r="G50" s="324"/>
      <c r="H50" s="325"/>
      <c r="I50" s="326"/>
      <c r="J50" s="327"/>
      <c r="K50" s="328"/>
      <c r="L50" s="329"/>
    </row>
    <row r="51" spans="1:12" ht="13.5" customHeight="1">
      <c r="A51" s="324"/>
      <c r="B51" s="325"/>
      <c r="C51" s="326"/>
      <c r="D51" s="327"/>
      <c r="E51" s="328"/>
      <c r="F51" s="329"/>
      <c r="G51" s="324"/>
      <c r="H51" s="325"/>
      <c r="I51" s="326"/>
      <c r="J51" s="327"/>
      <c r="K51" s="328"/>
      <c r="L51" s="329"/>
    </row>
    <row r="52" spans="1:12" ht="13.5" customHeight="1">
      <c r="A52" s="324"/>
      <c r="B52" s="325"/>
      <c r="C52" s="326"/>
      <c r="D52" s="327"/>
      <c r="E52" s="328"/>
      <c r="F52" s="329"/>
      <c r="G52" s="324"/>
      <c r="H52" s="325"/>
      <c r="I52" s="326"/>
      <c r="J52" s="327"/>
      <c r="K52" s="328"/>
      <c r="L52" s="329"/>
    </row>
    <row r="53" spans="1:12" ht="13.5" customHeight="1">
      <c r="A53" s="324"/>
      <c r="B53" s="325"/>
      <c r="C53" s="326"/>
      <c r="D53" s="327"/>
      <c r="E53" s="328"/>
      <c r="F53" s="329"/>
      <c r="G53" s="324"/>
      <c r="H53" s="325"/>
      <c r="I53" s="326"/>
      <c r="J53" s="327"/>
      <c r="K53" s="328"/>
      <c r="L53" s="329"/>
    </row>
    <row r="54" spans="1:12" ht="13.5" customHeight="1">
      <c r="A54" s="330"/>
      <c r="B54" s="331"/>
      <c r="C54" s="332"/>
      <c r="D54" s="333"/>
      <c r="E54" s="334"/>
      <c r="F54" s="335"/>
      <c r="G54" s="330"/>
      <c r="H54" s="331"/>
      <c r="I54" s="332"/>
      <c r="J54" s="333"/>
      <c r="K54" s="334"/>
      <c r="L54" s="335"/>
    </row>
    <row r="55" spans="1:12" ht="13.5" customHeight="1">
      <c r="A55" s="336"/>
      <c r="B55" s="337"/>
      <c r="C55" s="336"/>
      <c r="D55" s="338"/>
      <c r="E55" s="338"/>
      <c r="F55" s="339"/>
      <c r="G55" s="336"/>
      <c r="H55" s="337"/>
      <c r="I55" s="336" t="s">
        <v>214</v>
      </c>
      <c r="J55" s="338"/>
      <c r="K55" s="338"/>
      <c r="L55" s="339">
        <v>2.1509999999999998</v>
      </c>
    </row>
    <row r="56" spans="1:12" ht="13.5" customHeight="1">
      <c r="A56" s="340"/>
      <c r="B56" s="341"/>
      <c r="C56" s="342" t="s">
        <v>233</v>
      </c>
      <c r="D56" s="343"/>
      <c r="E56" s="344" t="s">
        <v>232</v>
      </c>
      <c r="F56" s="345"/>
      <c r="G56" s="340"/>
      <c r="H56" s="341"/>
      <c r="I56" s="342" t="s">
        <v>243</v>
      </c>
      <c r="J56" s="343"/>
      <c r="K56" s="344"/>
      <c r="L56" s="345"/>
    </row>
    <row r="57" spans="1:12" ht="13.5" customHeight="1">
      <c r="A57" s="324" t="s">
        <v>234</v>
      </c>
      <c r="B57" s="325"/>
      <c r="C57" s="346" t="s">
        <v>204</v>
      </c>
      <c r="D57" s="370" t="s">
        <v>205</v>
      </c>
      <c r="E57" s="348" t="s">
        <v>206</v>
      </c>
      <c r="F57" s="349">
        <v>4.2999999999999997E-2</v>
      </c>
      <c r="G57" s="324" t="s">
        <v>244</v>
      </c>
      <c r="H57" s="325"/>
      <c r="I57" s="346" t="s">
        <v>212</v>
      </c>
      <c r="J57" s="370" t="s">
        <v>205</v>
      </c>
      <c r="K57" s="348" t="s">
        <v>213</v>
      </c>
      <c r="L57" s="349">
        <v>0.111</v>
      </c>
    </row>
    <row r="58" spans="1:12" ht="13.5" customHeight="1">
      <c r="A58" s="324" t="s">
        <v>235</v>
      </c>
      <c r="B58" s="325">
        <v>1</v>
      </c>
      <c r="C58" s="346" t="s">
        <v>237</v>
      </c>
      <c r="D58" s="347">
        <v>0.10000000149011612</v>
      </c>
      <c r="E58" s="348">
        <v>0.5</v>
      </c>
      <c r="F58" s="349">
        <v>0.2</v>
      </c>
      <c r="G58" s="324" t="s">
        <v>245</v>
      </c>
      <c r="H58" s="325">
        <v>1</v>
      </c>
      <c r="I58" s="346" t="s">
        <v>211</v>
      </c>
      <c r="J58" s="347">
        <v>6.0000000521540642E-3</v>
      </c>
      <c r="K58" s="348">
        <v>0.2</v>
      </c>
      <c r="L58" s="349">
        <v>0.03</v>
      </c>
    </row>
    <row r="59" spans="1:12" ht="13.5" customHeight="1">
      <c r="A59" s="324" t="s">
        <v>236</v>
      </c>
      <c r="B59" s="325">
        <v>2</v>
      </c>
      <c r="C59" s="346" t="s">
        <v>238</v>
      </c>
      <c r="D59" s="347">
        <v>5.000000074505806E-2</v>
      </c>
      <c r="E59" s="348">
        <v>3.4000000000000002E-2</v>
      </c>
      <c r="F59" s="349">
        <v>1.4710000000000001</v>
      </c>
      <c r="G59" s="324"/>
      <c r="H59" s="325">
        <v>2</v>
      </c>
      <c r="I59" s="346" t="s">
        <v>210</v>
      </c>
      <c r="J59" s="347">
        <v>1.2000000104308128E-2</v>
      </c>
      <c r="K59" s="348">
        <v>0.22</v>
      </c>
      <c r="L59" s="349">
        <v>5.5E-2</v>
      </c>
    </row>
    <row r="60" spans="1:12" ht="13.5" customHeight="1">
      <c r="A60" s="324" t="s">
        <v>203</v>
      </c>
      <c r="B60" s="325">
        <v>3</v>
      </c>
      <c r="C60" s="346" t="s">
        <v>239</v>
      </c>
      <c r="D60" s="347">
        <v>9.9999997764825821E-3</v>
      </c>
      <c r="E60" s="348">
        <v>0.11</v>
      </c>
      <c r="F60" s="349">
        <v>9.0999999999999998E-2</v>
      </c>
      <c r="G60" s="324"/>
      <c r="H60" s="325">
        <v>3</v>
      </c>
      <c r="I60" s="346" t="s">
        <v>209</v>
      </c>
      <c r="J60" s="370" t="s">
        <v>205</v>
      </c>
      <c r="K60" s="371" t="s">
        <v>205</v>
      </c>
      <c r="L60" s="349">
        <v>7.0000000000000007E-2</v>
      </c>
    </row>
    <row r="61" spans="1:12" ht="13.5" customHeight="1">
      <c r="A61" s="324"/>
      <c r="B61" s="325">
        <v>4</v>
      </c>
      <c r="C61" s="346" t="s">
        <v>240</v>
      </c>
      <c r="D61" s="347">
        <v>0.15000000596046448</v>
      </c>
      <c r="E61" s="348">
        <v>1.6</v>
      </c>
      <c r="F61" s="349">
        <v>9.4E-2</v>
      </c>
      <c r="G61" s="324"/>
      <c r="H61" s="325">
        <v>4</v>
      </c>
      <c r="I61" s="346" t="s">
        <v>210</v>
      </c>
      <c r="J61" s="347">
        <v>1.2000000104308128E-2</v>
      </c>
      <c r="K61" s="348">
        <v>0.22</v>
      </c>
      <c r="L61" s="349">
        <v>5.5E-2</v>
      </c>
    </row>
    <row r="62" spans="1:12" ht="13.5" customHeight="1">
      <c r="A62" s="324"/>
      <c r="B62" s="325">
        <v>5</v>
      </c>
      <c r="C62" s="346" t="s">
        <v>209</v>
      </c>
      <c r="D62" s="370" t="s">
        <v>205</v>
      </c>
      <c r="E62" s="371" t="s">
        <v>205</v>
      </c>
      <c r="F62" s="349">
        <v>7.0000000000000007E-2</v>
      </c>
      <c r="G62" s="324"/>
      <c r="H62" s="325">
        <v>5</v>
      </c>
      <c r="I62" s="346" t="s">
        <v>211</v>
      </c>
      <c r="J62" s="347">
        <v>6.0000000521540642E-3</v>
      </c>
      <c r="K62" s="348">
        <v>0.2</v>
      </c>
      <c r="L62" s="349">
        <v>0.03</v>
      </c>
    </row>
    <row r="63" spans="1:12" ht="13.5" customHeight="1">
      <c r="A63" s="324"/>
      <c r="B63" s="325">
        <v>6</v>
      </c>
      <c r="C63" s="346" t="s">
        <v>210</v>
      </c>
      <c r="D63" s="347">
        <v>8.999999612569809E-3</v>
      </c>
      <c r="E63" s="348">
        <v>0.22</v>
      </c>
      <c r="F63" s="349">
        <v>4.1000000000000002E-2</v>
      </c>
      <c r="G63" s="324"/>
      <c r="H63" s="325"/>
      <c r="I63" s="346" t="s">
        <v>212</v>
      </c>
      <c r="J63" s="370" t="s">
        <v>205</v>
      </c>
      <c r="K63" s="348" t="s">
        <v>213</v>
      </c>
      <c r="L63" s="349">
        <v>0.111</v>
      </c>
    </row>
    <row r="64" spans="1:12" ht="13.5" customHeight="1">
      <c r="A64" s="324"/>
      <c r="B64" s="325"/>
      <c r="C64" s="346" t="s">
        <v>212</v>
      </c>
      <c r="D64" s="370" t="s">
        <v>205</v>
      </c>
      <c r="E64" s="348" t="s">
        <v>213</v>
      </c>
      <c r="F64" s="349">
        <v>0.111</v>
      </c>
      <c r="G64" s="324"/>
      <c r="H64" s="325"/>
      <c r="I64" s="346"/>
      <c r="J64" s="347"/>
      <c r="K64" s="348"/>
      <c r="L64" s="349"/>
    </row>
    <row r="65" spans="1:12" ht="13.5" customHeight="1">
      <c r="A65" s="324"/>
      <c r="B65" s="325"/>
      <c r="C65" s="346"/>
      <c r="D65" s="347"/>
      <c r="E65" s="348"/>
      <c r="F65" s="349"/>
      <c r="G65" s="324"/>
      <c r="H65" s="325"/>
      <c r="I65" s="346"/>
      <c r="J65" s="347"/>
      <c r="K65" s="348"/>
      <c r="L65" s="349"/>
    </row>
    <row r="66" spans="1:12" ht="13.5" customHeight="1">
      <c r="A66" s="324"/>
      <c r="B66" s="325"/>
      <c r="C66" s="346"/>
      <c r="D66" s="347"/>
      <c r="E66" s="348"/>
      <c r="F66" s="349"/>
      <c r="G66" s="324"/>
      <c r="H66" s="325"/>
      <c r="I66" s="346"/>
      <c r="J66" s="347"/>
      <c r="K66" s="348"/>
      <c r="L66" s="349"/>
    </row>
    <row r="67" spans="1:12" ht="13.5" customHeight="1">
      <c r="A67" s="324"/>
      <c r="B67" s="325"/>
      <c r="C67" s="346"/>
      <c r="D67" s="347"/>
      <c r="E67" s="348"/>
      <c r="F67" s="349"/>
      <c r="G67" s="324"/>
      <c r="H67" s="325"/>
      <c r="I67" s="346"/>
      <c r="J67" s="347"/>
      <c r="K67" s="348"/>
      <c r="L67" s="349"/>
    </row>
    <row r="68" spans="1:12" ht="13.5" customHeight="1">
      <c r="A68" s="324"/>
      <c r="B68" s="325"/>
      <c r="C68" s="346"/>
      <c r="D68" s="347"/>
      <c r="E68" s="348"/>
      <c r="F68" s="349"/>
      <c r="G68" s="324"/>
      <c r="H68" s="325"/>
      <c r="I68" s="346"/>
      <c r="J68" s="347"/>
      <c r="K68" s="348"/>
      <c r="L68" s="349"/>
    </row>
    <row r="69" spans="1:12" ht="13.5" customHeight="1">
      <c r="A69" s="324"/>
      <c r="B69" s="325"/>
      <c r="C69" s="346"/>
      <c r="D69" s="347"/>
      <c r="E69" s="348"/>
      <c r="F69" s="349"/>
      <c r="G69" s="324"/>
      <c r="H69" s="325"/>
      <c r="I69" s="346"/>
      <c r="J69" s="347"/>
      <c r="K69" s="348"/>
      <c r="L69" s="349"/>
    </row>
    <row r="70" spans="1:12" ht="13.5" customHeight="1">
      <c r="A70" s="324"/>
      <c r="B70" s="325"/>
      <c r="C70" s="346"/>
      <c r="D70" s="347"/>
      <c r="E70" s="348"/>
      <c r="F70" s="349"/>
      <c r="G70" s="324"/>
      <c r="H70" s="325"/>
      <c r="I70" s="346"/>
      <c r="J70" s="347"/>
      <c r="K70" s="348"/>
      <c r="L70" s="349"/>
    </row>
    <row r="71" spans="1:12" ht="13.5" customHeight="1">
      <c r="A71" s="330"/>
      <c r="B71" s="331"/>
      <c r="C71" s="350"/>
      <c r="D71" s="351"/>
      <c r="E71" s="352"/>
      <c r="F71" s="353"/>
      <c r="G71" s="330"/>
      <c r="H71" s="331"/>
      <c r="I71" s="350"/>
      <c r="J71" s="351"/>
      <c r="K71" s="352"/>
      <c r="L71" s="353"/>
    </row>
    <row r="72" spans="1:12" ht="13.5" customHeight="1">
      <c r="A72" s="336"/>
      <c r="B72" s="337"/>
      <c r="C72" s="354" t="s">
        <v>214</v>
      </c>
      <c r="D72" s="355"/>
      <c r="E72" s="355"/>
      <c r="F72" s="356">
        <v>2.121</v>
      </c>
      <c r="G72" s="336"/>
      <c r="H72" s="337"/>
      <c r="I72" s="354" t="s">
        <v>214</v>
      </c>
      <c r="J72" s="355"/>
      <c r="K72" s="355"/>
      <c r="L72" s="356">
        <v>0.46200000000000002</v>
      </c>
    </row>
    <row r="73" spans="1:12" ht="13.5" customHeight="1">
      <c r="A73" s="357"/>
      <c r="B73" s="358"/>
      <c r="C73" s="359" t="s">
        <v>241</v>
      </c>
      <c r="D73" s="360"/>
      <c r="E73" s="361"/>
      <c r="F73" s="362"/>
      <c r="G73" s="357"/>
      <c r="H73" s="358"/>
      <c r="I73" s="359" t="s">
        <v>246</v>
      </c>
      <c r="J73" s="360"/>
      <c r="K73" s="361"/>
      <c r="L73" s="362"/>
    </row>
    <row r="74" spans="1:12" ht="13.5" customHeight="1">
      <c r="A74" s="318" t="s">
        <v>244</v>
      </c>
      <c r="B74" s="319"/>
      <c r="C74" s="320" t="s">
        <v>212</v>
      </c>
      <c r="D74" s="367" t="s">
        <v>205</v>
      </c>
      <c r="E74" s="322" t="s">
        <v>213</v>
      </c>
      <c r="F74" s="323">
        <v>0.111</v>
      </c>
      <c r="G74" s="318" t="s">
        <v>251</v>
      </c>
      <c r="H74" s="319"/>
      <c r="I74" s="320" t="s">
        <v>212</v>
      </c>
      <c r="J74" s="367" t="s">
        <v>205</v>
      </c>
      <c r="K74" s="322" t="s">
        <v>213</v>
      </c>
      <c r="L74" s="323">
        <v>0.111</v>
      </c>
    </row>
    <row r="75" spans="1:12" ht="13.5" customHeight="1">
      <c r="A75" s="324" t="s">
        <v>247</v>
      </c>
      <c r="B75" s="325">
        <v>1</v>
      </c>
      <c r="C75" s="326" t="s">
        <v>210</v>
      </c>
      <c r="D75" s="327">
        <v>1.2000000104308128E-2</v>
      </c>
      <c r="E75" s="328">
        <v>0.22</v>
      </c>
      <c r="F75" s="329">
        <v>5.5E-2</v>
      </c>
      <c r="G75" s="324" t="s">
        <v>252</v>
      </c>
      <c r="H75" s="325">
        <v>1</v>
      </c>
      <c r="I75" s="326" t="s">
        <v>253</v>
      </c>
      <c r="J75" s="327">
        <v>2.0000000949949026E-3</v>
      </c>
      <c r="K75" s="328">
        <v>0.19</v>
      </c>
      <c r="L75" s="329">
        <v>1.0999999999999999E-2</v>
      </c>
    </row>
    <row r="76" spans="1:12" ht="13.5" customHeight="1">
      <c r="A76" s="324"/>
      <c r="B76" s="325">
        <v>2</v>
      </c>
      <c r="C76" s="326" t="s">
        <v>209</v>
      </c>
      <c r="D76" s="368" t="s">
        <v>205</v>
      </c>
      <c r="E76" s="369" t="s">
        <v>205</v>
      </c>
      <c r="F76" s="329">
        <v>7.0000000000000007E-2</v>
      </c>
      <c r="G76" s="324"/>
      <c r="H76" s="325">
        <v>2</v>
      </c>
      <c r="I76" s="326" t="s">
        <v>254</v>
      </c>
      <c r="J76" s="327">
        <v>2.9999999329447746E-2</v>
      </c>
      <c r="K76" s="328">
        <v>1.5</v>
      </c>
      <c r="L76" s="329">
        <v>0.02</v>
      </c>
    </row>
    <row r="77" spans="1:12" ht="13.5" customHeight="1">
      <c r="A77" s="324"/>
      <c r="B77" s="325">
        <v>3</v>
      </c>
      <c r="C77" s="326" t="s">
        <v>210</v>
      </c>
      <c r="D77" s="327">
        <v>1.2000000104308128E-2</v>
      </c>
      <c r="E77" s="328">
        <v>0.22</v>
      </c>
      <c r="F77" s="329">
        <v>5.5E-2</v>
      </c>
      <c r="G77" s="324"/>
      <c r="H77" s="325">
        <v>3</v>
      </c>
      <c r="I77" s="326" t="s">
        <v>240</v>
      </c>
      <c r="J77" s="327">
        <v>0.15000000596046448</v>
      </c>
      <c r="K77" s="328">
        <v>1.6</v>
      </c>
      <c r="L77" s="329">
        <v>9.4E-2</v>
      </c>
    </row>
    <row r="78" spans="1:12" ht="13.5" customHeight="1">
      <c r="A78" s="324"/>
      <c r="B78" s="325"/>
      <c r="C78" s="326" t="s">
        <v>212</v>
      </c>
      <c r="D78" s="368" t="s">
        <v>205</v>
      </c>
      <c r="E78" s="328" t="s">
        <v>213</v>
      </c>
      <c r="F78" s="329">
        <v>0.111</v>
      </c>
      <c r="G78" s="324"/>
      <c r="H78" s="325">
        <v>4</v>
      </c>
      <c r="I78" s="326" t="s">
        <v>209</v>
      </c>
      <c r="J78" s="368" t="s">
        <v>205</v>
      </c>
      <c r="K78" s="369" t="s">
        <v>205</v>
      </c>
      <c r="L78" s="329">
        <v>7.0000000000000007E-2</v>
      </c>
    </row>
    <row r="79" spans="1:12" ht="13.5" customHeight="1">
      <c r="A79" s="324"/>
      <c r="B79" s="325"/>
      <c r="C79" s="326"/>
      <c r="D79" s="327"/>
      <c r="E79" s="328"/>
      <c r="F79" s="329"/>
      <c r="G79" s="324"/>
      <c r="H79" s="325">
        <v>5</v>
      </c>
      <c r="I79" s="326" t="s">
        <v>210</v>
      </c>
      <c r="J79" s="327">
        <v>8.999999612569809E-3</v>
      </c>
      <c r="K79" s="328">
        <v>0.22</v>
      </c>
      <c r="L79" s="329">
        <v>4.1000000000000002E-2</v>
      </c>
    </row>
    <row r="80" spans="1:12" ht="13.5" customHeight="1">
      <c r="A80" s="324"/>
      <c r="B80" s="325"/>
      <c r="C80" s="326"/>
      <c r="D80" s="327"/>
      <c r="E80" s="328"/>
      <c r="F80" s="329"/>
      <c r="G80" s="324"/>
      <c r="H80" s="325"/>
      <c r="I80" s="326" t="s">
        <v>212</v>
      </c>
      <c r="J80" s="368" t="s">
        <v>205</v>
      </c>
      <c r="K80" s="328" t="s">
        <v>213</v>
      </c>
      <c r="L80" s="329">
        <v>0.111</v>
      </c>
    </row>
    <row r="81" spans="1:12" ht="13.5" customHeight="1">
      <c r="A81" s="324"/>
      <c r="B81" s="325"/>
      <c r="C81" s="326"/>
      <c r="D81" s="327"/>
      <c r="E81" s="328"/>
      <c r="F81" s="329"/>
      <c r="G81" s="324"/>
      <c r="H81" s="325"/>
      <c r="I81" s="326"/>
      <c r="J81" s="327"/>
      <c r="K81" s="328"/>
      <c r="L81" s="329"/>
    </row>
    <row r="82" spans="1:12" ht="13.5" customHeight="1">
      <c r="A82" s="324"/>
      <c r="B82" s="325"/>
      <c r="C82" s="326"/>
      <c r="D82" s="327"/>
      <c r="E82" s="328"/>
      <c r="F82" s="329"/>
      <c r="G82" s="324"/>
      <c r="H82" s="325"/>
      <c r="I82" s="326"/>
      <c r="J82" s="327"/>
      <c r="K82" s="328"/>
      <c r="L82" s="329"/>
    </row>
    <row r="83" spans="1:12" ht="13.5" customHeight="1">
      <c r="A83" s="324"/>
      <c r="B83" s="325"/>
      <c r="C83" s="326"/>
      <c r="D83" s="327"/>
      <c r="E83" s="328"/>
      <c r="F83" s="329"/>
      <c r="G83" s="324"/>
      <c r="H83" s="325"/>
      <c r="I83" s="326"/>
      <c r="J83" s="327"/>
      <c r="K83" s="328"/>
      <c r="L83" s="329"/>
    </row>
    <row r="84" spans="1:12" ht="13.5" customHeight="1">
      <c r="A84" s="324"/>
      <c r="B84" s="325"/>
      <c r="C84" s="326"/>
      <c r="D84" s="327"/>
      <c r="E84" s="328"/>
      <c r="F84" s="329"/>
      <c r="G84" s="324"/>
      <c r="H84" s="325"/>
      <c r="I84" s="326"/>
      <c r="J84" s="327"/>
      <c r="K84" s="328"/>
      <c r="L84" s="329"/>
    </row>
    <row r="85" spans="1:12" ht="13.5" customHeight="1">
      <c r="A85" s="324"/>
      <c r="B85" s="325"/>
      <c r="C85" s="326"/>
      <c r="D85" s="327"/>
      <c r="E85" s="328"/>
      <c r="F85" s="329"/>
      <c r="G85" s="324"/>
      <c r="H85" s="325"/>
      <c r="I85" s="326"/>
      <c r="J85" s="327"/>
      <c r="K85" s="328"/>
      <c r="L85" s="329"/>
    </row>
    <row r="86" spans="1:12" ht="13.5" customHeight="1">
      <c r="A86" s="324"/>
      <c r="B86" s="325"/>
      <c r="C86" s="326"/>
      <c r="D86" s="327"/>
      <c r="E86" s="328"/>
      <c r="F86" s="329"/>
      <c r="G86" s="324"/>
      <c r="H86" s="325"/>
      <c r="I86" s="326"/>
      <c r="J86" s="327"/>
      <c r="K86" s="328"/>
      <c r="L86" s="329"/>
    </row>
    <row r="87" spans="1:12" ht="13.5" customHeight="1">
      <c r="A87" s="324"/>
      <c r="B87" s="325"/>
      <c r="C87" s="326"/>
      <c r="D87" s="327"/>
      <c r="E87" s="328"/>
      <c r="F87" s="329"/>
      <c r="G87" s="324"/>
      <c r="H87" s="325"/>
      <c r="I87" s="326"/>
      <c r="J87" s="327"/>
      <c r="K87" s="328"/>
      <c r="L87" s="329"/>
    </row>
    <row r="88" spans="1:12" ht="13.5" customHeight="1">
      <c r="A88" s="330"/>
      <c r="B88" s="331"/>
      <c r="C88" s="332"/>
      <c r="D88" s="333"/>
      <c r="E88" s="334"/>
      <c r="F88" s="335"/>
      <c r="G88" s="330"/>
      <c r="H88" s="331"/>
      <c r="I88" s="332"/>
      <c r="J88" s="333"/>
      <c r="K88" s="334"/>
      <c r="L88" s="335"/>
    </row>
    <row r="89" spans="1:12" ht="13.5" customHeight="1">
      <c r="A89" s="336"/>
      <c r="B89" s="337"/>
      <c r="C89" s="336" t="s">
        <v>214</v>
      </c>
      <c r="D89" s="338"/>
      <c r="E89" s="338"/>
      <c r="F89" s="339">
        <v>0.40200000000000002</v>
      </c>
      <c r="G89" s="336"/>
      <c r="H89" s="337"/>
      <c r="I89" s="336" t="s">
        <v>214</v>
      </c>
      <c r="J89" s="338"/>
      <c r="K89" s="338"/>
      <c r="L89" s="339">
        <v>0.45800000000000002</v>
      </c>
    </row>
    <row r="90" spans="1:12" ht="13.5" customHeight="1">
      <c r="A90" s="340"/>
      <c r="B90" s="341"/>
      <c r="C90" s="342" t="s">
        <v>248</v>
      </c>
      <c r="D90" s="343"/>
      <c r="E90" s="344"/>
      <c r="F90" s="345"/>
      <c r="G90" s="340"/>
      <c r="H90" s="341"/>
      <c r="I90" s="342" t="s">
        <v>255</v>
      </c>
      <c r="J90" s="343"/>
      <c r="K90" s="344"/>
      <c r="L90" s="345"/>
    </row>
    <row r="91" spans="1:12" ht="13.5" customHeight="1">
      <c r="A91" s="324" t="s">
        <v>244</v>
      </c>
      <c r="B91" s="325"/>
      <c r="C91" s="346" t="s">
        <v>212</v>
      </c>
      <c r="D91" s="370" t="s">
        <v>205</v>
      </c>
      <c r="E91" s="348" t="s">
        <v>213</v>
      </c>
      <c r="F91" s="349">
        <v>0.111</v>
      </c>
      <c r="G91" s="324" t="s">
        <v>251</v>
      </c>
      <c r="H91" s="325"/>
      <c r="I91" s="346" t="s">
        <v>212</v>
      </c>
      <c r="J91" s="370" t="s">
        <v>205</v>
      </c>
      <c r="K91" s="348" t="s">
        <v>213</v>
      </c>
      <c r="L91" s="349">
        <v>0.111</v>
      </c>
    </row>
    <row r="92" spans="1:12" ht="13.5" customHeight="1">
      <c r="A92" s="324" t="s">
        <v>249</v>
      </c>
      <c r="B92" s="325">
        <v>1</v>
      </c>
      <c r="C92" s="346" t="s">
        <v>211</v>
      </c>
      <c r="D92" s="347">
        <v>6.0000000521540642E-3</v>
      </c>
      <c r="E92" s="348">
        <v>0.2</v>
      </c>
      <c r="F92" s="349">
        <v>0.03</v>
      </c>
      <c r="G92" s="324" t="s">
        <v>256</v>
      </c>
      <c r="H92" s="325">
        <v>1</v>
      </c>
      <c r="I92" s="346" t="s">
        <v>210</v>
      </c>
      <c r="J92" s="347">
        <v>8.999999612569809E-3</v>
      </c>
      <c r="K92" s="348">
        <v>0.22</v>
      </c>
      <c r="L92" s="349">
        <v>4.1000000000000002E-2</v>
      </c>
    </row>
    <row r="93" spans="1:12" ht="13.5" customHeight="1">
      <c r="A93" s="324"/>
      <c r="B93" s="325">
        <v>2</v>
      </c>
      <c r="C93" s="346" t="s">
        <v>210</v>
      </c>
      <c r="D93" s="347">
        <v>1.2000000104308128E-2</v>
      </c>
      <c r="E93" s="348">
        <v>0.22</v>
      </c>
      <c r="F93" s="349">
        <v>5.5E-2</v>
      </c>
      <c r="G93" s="324"/>
      <c r="H93" s="325">
        <v>2</v>
      </c>
      <c r="I93" s="346" t="s">
        <v>211</v>
      </c>
      <c r="J93" s="347">
        <v>6.0000000521540642E-3</v>
      </c>
      <c r="K93" s="348">
        <v>0.2</v>
      </c>
      <c r="L93" s="349">
        <v>0.03</v>
      </c>
    </row>
    <row r="94" spans="1:12" ht="13.5" customHeight="1">
      <c r="A94" s="324"/>
      <c r="B94" s="325">
        <v>3</v>
      </c>
      <c r="C94" s="346" t="s">
        <v>209</v>
      </c>
      <c r="D94" s="370" t="s">
        <v>205</v>
      </c>
      <c r="E94" s="371" t="s">
        <v>205</v>
      </c>
      <c r="F94" s="349">
        <v>7.0000000000000007E-2</v>
      </c>
      <c r="G94" s="324"/>
      <c r="H94" s="325"/>
      <c r="I94" s="346" t="s">
        <v>212</v>
      </c>
      <c r="J94" s="370" t="s">
        <v>205</v>
      </c>
      <c r="K94" s="348" t="s">
        <v>213</v>
      </c>
      <c r="L94" s="349">
        <v>0.111</v>
      </c>
    </row>
    <row r="95" spans="1:12" ht="13.5" customHeight="1">
      <c r="A95" s="324"/>
      <c r="B95" s="325">
        <v>4</v>
      </c>
      <c r="C95" s="346" t="s">
        <v>210</v>
      </c>
      <c r="D95" s="347">
        <v>1.2000000104308128E-2</v>
      </c>
      <c r="E95" s="348">
        <v>0.22</v>
      </c>
      <c r="F95" s="349">
        <v>5.5E-2</v>
      </c>
      <c r="G95" s="324"/>
      <c r="H95" s="325"/>
      <c r="I95" s="346"/>
      <c r="J95" s="347"/>
      <c r="K95" s="348"/>
      <c r="L95" s="349"/>
    </row>
    <row r="96" spans="1:12" ht="13.5" customHeight="1">
      <c r="A96" s="324"/>
      <c r="B96" s="325"/>
      <c r="C96" s="346" t="s">
        <v>212</v>
      </c>
      <c r="D96" s="370" t="s">
        <v>205</v>
      </c>
      <c r="E96" s="348" t="s">
        <v>213</v>
      </c>
      <c r="F96" s="349">
        <v>0.111</v>
      </c>
      <c r="G96" s="324"/>
      <c r="H96" s="325"/>
      <c r="I96" s="346"/>
      <c r="J96" s="347"/>
      <c r="K96" s="348"/>
      <c r="L96" s="349"/>
    </row>
    <row r="97" spans="1:12" ht="13.5" customHeight="1">
      <c r="A97" s="324"/>
      <c r="B97" s="325"/>
      <c r="C97" s="346"/>
      <c r="D97" s="347"/>
      <c r="E97" s="348"/>
      <c r="F97" s="349"/>
      <c r="G97" s="324"/>
      <c r="H97" s="325"/>
      <c r="I97" s="346"/>
      <c r="J97" s="347"/>
      <c r="K97" s="348"/>
      <c r="L97" s="349"/>
    </row>
    <row r="98" spans="1:12" ht="13.5" customHeight="1">
      <c r="A98" s="324"/>
      <c r="B98" s="325"/>
      <c r="C98" s="346"/>
      <c r="D98" s="347"/>
      <c r="E98" s="348"/>
      <c r="F98" s="349"/>
      <c r="G98" s="324"/>
      <c r="H98" s="325"/>
      <c r="I98" s="346"/>
      <c r="J98" s="347"/>
      <c r="K98" s="348"/>
      <c r="L98" s="349"/>
    </row>
    <row r="99" spans="1:12" ht="13.5" customHeight="1">
      <c r="A99" s="324"/>
      <c r="B99" s="325"/>
      <c r="C99" s="346"/>
      <c r="D99" s="347"/>
      <c r="E99" s="348"/>
      <c r="F99" s="349"/>
      <c r="G99" s="324"/>
      <c r="H99" s="325"/>
      <c r="I99" s="346"/>
      <c r="J99" s="347"/>
      <c r="K99" s="348"/>
      <c r="L99" s="349"/>
    </row>
    <row r="100" spans="1:12" ht="13.5" customHeight="1">
      <c r="A100" s="324"/>
      <c r="B100" s="325"/>
      <c r="C100" s="346"/>
      <c r="D100" s="347"/>
      <c r="E100" s="348"/>
      <c r="F100" s="349"/>
      <c r="G100" s="324"/>
      <c r="H100" s="325"/>
      <c r="I100" s="346"/>
      <c r="J100" s="347"/>
      <c r="K100" s="348"/>
      <c r="L100" s="349"/>
    </row>
    <row r="101" spans="1:12" ht="13.5" customHeight="1">
      <c r="A101" s="324"/>
      <c r="B101" s="325"/>
      <c r="C101" s="346"/>
      <c r="D101" s="347"/>
      <c r="E101" s="348"/>
      <c r="F101" s="349"/>
      <c r="G101" s="324"/>
      <c r="H101" s="325"/>
      <c r="I101" s="346"/>
      <c r="J101" s="347"/>
      <c r="K101" s="348"/>
      <c r="L101" s="349"/>
    </row>
    <row r="102" spans="1:12" ht="13.5" customHeight="1">
      <c r="A102" s="324"/>
      <c r="B102" s="325"/>
      <c r="C102" s="346"/>
      <c r="D102" s="347"/>
      <c r="E102" s="348"/>
      <c r="F102" s="349"/>
      <c r="G102" s="324"/>
      <c r="H102" s="325"/>
      <c r="I102" s="346"/>
      <c r="J102" s="347"/>
      <c r="K102" s="348"/>
      <c r="L102" s="349"/>
    </row>
    <row r="103" spans="1:12" ht="13.5" customHeight="1">
      <c r="A103" s="324"/>
      <c r="B103" s="325"/>
      <c r="C103" s="346"/>
      <c r="D103" s="347"/>
      <c r="E103" s="348"/>
      <c r="F103" s="349"/>
      <c r="G103" s="324"/>
      <c r="H103" s="325"/>
      <c r="I103" s="346"/>
      <c r="J103" s="347"/>
      <c r="K103" s="348"/>
      <c r="L103" s="349"/>
    </row>
    <row r="104" spans="1:12" ht="13.5" customHeight="1">
      <c r="A104" s="324"/>
      <c r="B104" s="325"/>
      <c r="C104" s="346"/>
      <c r="D104" s="347"/>
      <c r="E104" s="348"/>
      <c r="F104" s="349"/>
      <c r="G104" s="324"/>
      <c r="H104" s="325"/>
      <c r="I104" s="346"/>
      <c r="J104" s="347"/>
      <c r="K104" s="348"/>
      <c r="L104" s="349"/>
    </row>
    <row r="105" spans="1:12" ht="13.5" customHeight="1">
      <c r="A105" s="330"/>
      <c r="B105" s="331"/>
      <c r="C105" s="350"/>
      <c r="D105" s="351"/>
      <c r="E105" s="352"/>
      <c r="F105" s="353"/>
      <c r="G105" s="330"/>
      <c r="H105" s="331"/>
      <c r="I105" s="350"/>
      <c r="J105" s="351"/>
      <c r="K105" s="352"/>
      <c r="L105" s="353"/>
    </row>
    <row r="106" spans="1:12" ht="13.5" customHeight="1">
      <c r="A106" s="336"/>
      <c r="B106" s="337"/>
      <c r="C106" s="354" t="s">
        <v>214</v>
      </c>
      <c r="D106" s="355"/>
      <c r="E106" s="355"/>
      <c r="F106" s="356">
        <v>0.432</v>
      </c>
      <c r="G106" s="336"/>
      <c r="H106" s="337"/>
      <c r="I106" s="354" t="s">
        <v>214</v>
      </c>
      <c r="J106" s="355"/>
      <c r="K106" s="355"/>
      <c r="L106" s="356">
        <v>0.29299999999999998</v>
      </c>
    </row>
    <row r="107" spans="1:12" ht="13.5" customHeight="1">
      <c r="A107" s="357"/>
      <c r="B107" s="358"/>
      <c r="C107" s="359" t="s">
        <v>250</v>
      </c>
      <c r="D107" s="360"/>
      <c r="E107" s="361"/>
      <c r="F107" s="362"/>
      <c r="G107" s="357"/>
      <c r="H107" s="358"/>
      <c r="I107" s="359" t="s">
        <v>257</v>
      </c>
      <c r="J107" s="360"/>
      <c r="K107" s="361"/>
      <c r="L107" s="362"/>
    </row>
    <row r="108" spans="1:12" ht="13.5" customHeight="1">
      <c r="A108" s="318" t="s">
        <v>251</v>
      </c>
      <c r="B108" s="319"/>
      <c r="C108" s="320" t="s">
        <v>212</v>
      </c>
      <c r="D108" s="367" t="s">
        <v>205</v>
      </c>
      <c r="E108" s="322" t="s">
        <v>213</v>
      </c>
      <c r="F108" s="323">
        <v>0.111</v>
      </c>
      <c r="G108" s="318" t="s">
        <v>260</v>
      </c>
      <c r="H108" s="319"/>
      <c r="I108" s="320" t="s">
        <v>212</v>
      </c>
      <c r="J108" s="367" t="s">
        <v>205</v>
      </c>
      <c r="K108" s="322" t="s">
        <v>213</v>
      </c>
      <c r="L108" s="323">
        <v>0.111</v>
      </c>
    </row>
    <row r="109" spans="1:12" ht="13.5" customHeight="1">
      <c r="A109" s="324" t="s">
        <v>258</v>
      </c>
      <c r="B109" s="325">
        <v>1</v>
      </c>
      <c r="C109" s="326" t="s">
        <v>253</v>
      </c>
      <c r="D109" s="327">
        <v>3.0000000260770321E-3</v>
      </c>
      <c r="E109" s="328">
        <v>0.19</v>
      </c>
      <c r="F109" s="329">
        <v>1.6E-2</v>
      </c>
      <c r="G109" s="324" t="s">
        <v>265</v>
      </c>
      <c r="H109" s="325">
        <v>1</v>
      </c>
      <c r="I109" s="326" t="s">
        <v>253</v>
      </c>
      <c r="J109" s="327">
        <v>3.0000000260770321E-3</v>
      </c>
      <c r="K109" s="328">
        <v>0.19</v>
      </c>
      <c r="L109" s="329">
        <v>1.6E-2</v>
      </c>
    </row>
    <row r="110" spans="1:12" ht="13.5" customHeight="1">
      <c r="A110" s="324"/>
      <c r="B110" s="325">
        <v>2</v>
      </c>
      <c r="C110" s="326" t="s">
        <v>254</v>
      </c>
      <c r="D110" s="327">
        <v>2.9999999329447746E-2</v>
      </c>
      <c r="E110" s="328">
        <v>1.5</v>
      </c>
      <c r="F110" s="329">
        <v>0.02</v>
      </c>
      <c r="G110" s="324"/>
      <c r="H110" s="325">
        <v>2</v>
      </c>
      <c r="I110" s="326" t="s">
        <v>254</v>
      </c>
      <c r="J110" s="327">
        <v>2.9999999329447746E-2</v>
      </c>
      <c r="K110" s="328">
        <v>1.5</v>
      </c>
      <c r="L110" s="329">
        <v>0.02</v>
      </c>
    </row>
    <row r="111" spans="1:12" ht="13.5" customHeight="1">
      <c r="A111" s="324"/>
      <c r="B111" s="325">
        <v>3</v>
      </c>
      <c r="C111" s="326" t="s">
        <v>240</v>
      </c>
      <c r="D111" s="327">
        <v>0.15000000596046448</v>
      </c>
      <c r="E111" s="328">
        <v>1.6</v>
      </c>
      <c r="F111" s="329">
        <v>9.4E-2</v>
      </c>
      <c r="G111" s="324"/>
      <c r="H111" s="325">
        <v>3</v>
      </c>
      <c r="I111" s="326" t="s">
        <v>240</v>
      </c>
      <c r="J111" s="327">
        <v>0.15000000596046448</v>
      </c>
      <c r="K111" s="328">
        <v>1.6</v>
      </c>
      <c r="L111" s="329">
        <v>9.4E-2</v>
      </c>
    </row>
    <row r="112" spans="1:12" ht="13.5" customHeight="1">
      <c r="A112" s="324"/>
      <c r="B112" s="325"/>
      <c r="C112" s="326" t="s">
        <v>212</v>
      </c>
      <c r="D112" s="368" t="s">
        <v>205</v>
      </c>
      <c r="E112" s="328" t="s">
        <v>213</v>
      </c>
      <c r="F112" s="329">
        <v>0.111</v>
      </c>
      <c r="G112" s="324"/>
      <c r="H112" s="325">
        <v>4</v>
      </c>
      <c r="I112" s="326" t="s">
        <v>209</v>
      </c>
      <c r="J112" s="368" t="s">
        <v>205</v>
      </c>
      <c r="K112" s="369" t="s">
        <v>205</v>
      </c>
      <c r="L112" s="329">
        <v>7.0000000000000007E-2</v>
      </c>
    </row>
    <row r="113" spans="1:12" ht="13.5" customHeight="1">
      <c r="A113" s="324"/>
      <c r="B113" s="325"/>
      <c r="C113" s="326"/>
      <c r="D113" s="327"/>
      <c r="E113" s="328"/>
      <c r="F113" s="329"/>
      <c r="G113" s="324"/>
      <c r="H113" s="325">
        <v>5</v>
      </c>
      <c r="I113" s="326" t="s">
        <v>240</v>
      </c>
      <c r="J113" s="327">
        <v>0.15000000596046448</v>
      </c>
      <c r="K113" s="328">
        <v>1.6</v>
      </c>
      <c r="L113" s="329">
        <v>9.4E-2</v>
      </c>
    </row>
    <row r="114" spans="1:12" ht="13.5" customHeight="1">
      <c r="A114" s="324"/>
      <c r="B114" s="325"/>
      <c r="C114" s="326"/>
      <c r="D114" s="327"/>
      <c r="E114" s="328"/>
      <c r="F114" s="329"/>
      <c r="G114" s="324"/>
      <c r="H114" s="325">
        <v>6</v>
      </c>
      <c r="I114" s="326" t="s">
        <v>262</v>
      </c>
      <c r="J114" s="327">
        <v>0.15000000596046448</v>
      </c>
      <c r="K114" s="328">
        <v>3.1</v>
      </c>
      <c r="L114" s="329">
        <v>4.8000000000000001E-2</v>
      </c>
    </row>
    <row r="115" spans="1:12" ht="13.5" customHeight="1">
      <c r="A115" s="324"/>
      <c r="B115" s="325"/>
      <c r="C115" s="326"/>
      <c r="D115" s="327"/>
      <c r="E115" s="328"/>
      <c r="F115" s="329"/>
      <c r="G115" s="324"/>
      <c r="H115" s="325">
        <v>7</v>
      </c>
      <c r="I115" s="326" t="s">
        <v>263</v>
      </c>
      <c r="J115" s="327">
        <v>1</v>
      </c>
      <c r="K115" s="328">
        <v>1</v>
      </c>
      <c r="L115" s="329">
        <v>1</v>
      </c>
    </row>
    <row r="116" spans="1:12" ht="13.5" customHeight="1">
      <c r="A116" s="324"/>
      <c r="B116" s="325"/>
      <c r="C116" s="326"/>
      <c r="D116" s="327"/>
      <c r="E116" s="328"/>
      <c r="F116" s="329"/>
      <c r="G116" s="324"/>
      <c r="H116" s="325"/>
      <c r="I116" s="326"/>
      <c r="J116" s="327"/>
      <c r="K116" s="328"/>
      <c r="L116" s="329"/>
    </row>
    <row r="117" spans="1:12" ht="13.5" customHeight="1">
      <c r="A117" s="324"/>
      <c r="B117" s="325"/>
      <c r="C117" s="326"/>
      <c r="D117" s="327"/>
      <c r="E117" s="328"/>
      <c r="F117" s="329"/>
      <c r="G117" s="324"/>
      <c r="H117" s="325"/>
      <c r="I117" s="326"/>
      <c r="J117" s="327"/>
      <c r="K117" s="328"/>
      <c r="L117" s="329"/>
    </row>
    <row r="118" spans="1:12" ht="13.5" customHeight="1">
      <c r="A118" s="324"/>
      <c r="B118" s="325"/>
      <c r="C118" s="326"/>
      <c r="D118" s="327"/>
      <c r="E118" s="328"/>
      <c r="F118" s="329"/>
      <c r="G118" s="324"/>
      <c r="H118" s="325"/>
      <c r="I118" s="326"/>
      <c r="J118" s="327"/>
      <c r="K118" s="328"/>
      <c r="L118" s="329"/>
    </row>
    <row r="119" spans="1:12" ht="13.5" customHeight="1">
      <c r="A119" s="324"/>
      <c r="B119" s="325"/>
      <c r="C119" s="326"/>
      <c r="D119" s="327"/>
      <c r="E119" s="328"/>
      <c r="F119" s="329"/>
      <c r="G119" s="324"/>
      <c r="H119" s="325"/>
      <c r="I119" s="326"/>
      <c r="J119" s="327"/>
      <c r="K119" s="328"/>
      <c r="L119" s="329"/>
    </row>
    <row r="120" spans="1:12" ht="13.5" customHeight="1">
      <c r="A120" s="324"/>
      <c r="B120" s="325"/>
      <c r="C120" s="326"/>
      <c r="D120" s="327"/>
      <c r="E120" s="328"/>
      <c r="F120" s="329"/>
      <c r="G120" s="324"/>
      <c r="H120" s="325"/>
      <c r="I120" s="326"/>
      <c r="J120" s="327"/>
      <c r="K120" s="328"/>
      <c r="L120" s="329"/>
    </row>
    <row r="121" spans="1:12" ht="13.5" customHeight="1">
      <c r="A121" s="324"/>
      <c r="B121" s="325"/>
      <c r="C121" s="326"/>
      <c r="D121" s="327"/>
      <c r="E121" s="328"/>
      <c r="F121" s="329"/>
      <c r="G121" s="324"/>
      <c r="H121" s="325"/>
      <c r="I121" s="326"/>
      <c r="J121" s="327"/>
      <c r="K121" s="328"/>
      <c r="L121" s="329"/>
    </row>
    <row r="122" spans="1:12" ht="13.5" customHeight="1">
      <c r="A122" s="330"/>
      <c r="B122" s="331"/>
      <c r="C122" s="332"/>
      <c r="D122" s="333"/>
      <c r="E122" s="334"/>
      <c r="F122" s="335"/>
      <c r="G122" s="330"/>
      <c r="H122" s="331"/>
      <c r="I122" s="332"/>
      <c r="J122" s="333"/>
      <c r="K122" s="334"/>
      <c r="L122" s="335"/>
    </row>
    <row r="123" spans="1:12" ht="13.5" customHeight="1">
      <c r="A123" s="336"/>
      <c r="B123" s="337"/>
      <c r="C123" s="336" t="s">
        <v>214</v>
      </c>
      <c r="D123" s="338"/>
      <c r="E123" s="338"/>
      <c r="F123" s="339">
        <v>0.35199999999999998</v>
      </c>
      <c r="G123" s="336"/>
      <c r="H123" s="337"/>
      <c r="I123" s="336" t="s">
        <v>214</v>
      </c>
      <c r="J123" s="338"/>
      <c r="K123" s="338"/>
      <c r="L123" s="339">
        <v>1.4530000000000001</v>
      </c>
    </row>
    <row r="124" spans="1:12" ht="13.5" customHeight="1">
      <c r="A124" s="340"/>
      <c r="B124" s="341"/>
      <c r="C124" s="342" t="s">
        <v>259</v>
      </c>
      <c r="D124" s="343"/>
      <c r="E124" s="344"/>
      <c r="F124" s="345"/>
      <c r="G124" s="340"/>
      <c r="H124" s="341"/>
      <c r="I124" s="342" t="s">
        <v>266</v>
      </c>
      <c r="J124" s="343"/>
      <c r="K124" s="344"/>
      <c r="L124" s="345"/>
    </row>
    <row r="125" spans="1:12" ht="13.5" customHeight="1">
      <c r="A125" s="324" t="s">
        <v>260</v>
      </c>
      <c r="B125" s="325"/>
      <c r="C125" s="346" t="s">
        <v>212</v>
      </c>
      <c r="D125" s="370" t="s">
        <v>205</v>
      </c>
      <c r="E125" s="348" t="s">
        <v>213</v>
      </c>
      <c r="F125" s="349">
        <v>0.111</v>
      </c>
      <c r="G125" s="324" t="s">
        <v>267</v>
      </c>
      <c r="H125" s="325"/>
      <c r="I125" s="346" t="s">
        <v>212</v>
      </c>
      <c r="J125" s="370" t="s">
        <v>205</v>
      </c>
      <c r="K125" s="348" t="s">
        <v>213</v>
      </c>
      <c r="L125" s="349">
        <v>0.111</v>
      </c>
    </row>
    <row r="126" spans="1:12" ht="13.5" customHeight="1">
      <c r="A126" s="324" t="s">
        <v>261</v>
      </c>
      <c r="B126" s="325">
        <v>1</v>
      </c>
      <c r="C126" s="346" t="s">
        <v>253</v>
      </c>
      <c r="D126" s="347">
        <v>3.0000000260770321E-3</v>
      </c>
      <c r="E126" s="348">
        <v>0.19</v>
      </c>
      <c r="F126" s="349">
        <v>1.6E-2</v>
      </c>
      <c r="G126" s="324" t="s">
        <v>268</v>
      </c>
      <c r="H126" s="325">
        <v>1</v>
      </c>
      <c r="I126" s="346" t="s">
        <v>210</v>
      </c>
      <c r="J126" s="347">
        <v>1.2000000104308128E-2</v>
      </c>
      <c r="K126" s="348">
        <v>0.22</v>
      </c>
      <c r="L126" s="349">
        <v>5.5E-2</v>
      </c>
    </row>
    <row r="127" spans="1:12" ht="13.5" customHeight="1">
      <c r="A127" s="324"/>
      <c r="B127" s="325">
        <v>2</v>
      </c>
      <c r="C127" s="346" t="s">
        <v>254</v>
      </c>
      <c r="D127" s="347">
        <v>2.9999999329447746E-2</v>
      </c>
      <c r="E127" s="348">
        <v>1.5</v>
      </c>
      <c r="F127" s="349">
        <v>0.02</v>
      </c>
      <c r="G127" s="324"/>
      <c r="H127" s="325">
        <v>2</v>
      </c>
      <c r="I127" s="346" t="s">
        <v>209</v>
      </c>
      <c r="J127" s="370" t="s">
        <v>205</v>
      </c>
      <c r="K127" s="371" t="s">
        <v>205</v>
      </c>
      <c r="L127" s="349">
        <v>7.0000000000000007E-2</v>
      </c>
    </row>
    <row r="128" spans="1:12" ht="13.5" customHeight="1">
      <c r="A128" s="324"/>
      <c r="B128" s="325">
        <v>3</v>
      </c>
      <c r="C128" s="346" t="s">
        <v>240</v>
      </c>
      <c r="D128" s="347">
        <v>0.15000000596046448</v>
      </c>
      <c r="E128" s="348">
        <v>1.6</v>
      </c>
      <c r="F128" s="349">
        <v>9.4E-2</v>
      </c>
      <c r="G128" s="324"/>
      <c r="H128" s="325">
        <v>3</v>
      </c>
      <c r="I128" s="346" t="s">
        <v>269</v>
      </c>
      <c r="J128" s="347">
        <v>0.10000000149011612</v>
      </c>
      <c r="K128" s="348">
        <v>0.53</v>
      </c>
      <c r="L128" s="349">
        <v>0.189</v>
      </c>
    </row>
    <row r="129" spans="1:12" ht="13.5" customHeight="1">
      <c r="A129" s="324"/>
      <c r="B129" s="325">
        <v>4</v>
      </c>
      <c r="C129" s="346" t="s">
        <v>262</v>
      </c>
      <c r="D129" s="347">
        <v>0.15000000596046448</v>
      </c>
      <c r="E129" s="348">
        <v>3.1</v>
      </c>
      <c r="F129" s="349">
        <v>4.8000000000000001E-2</v>
      </c>
      <c r="G129" s="324"/>
      <c r="H129" s="325">
        <v>4</v>
      </c>
      <c r="I129" s="346" t="s">
        <v>209</v>
      </c>
      <c r="J129" s="370" t="s">
        <v>205</v>
      </c>
      <c r="K129" s="371" t="s">
        <v>205</v>
      </c>
      <c r="L129" s="349">
        <v>7.0000000000000007E-2</v>
      </c>
    </row>
    <row r="130" spans="1:12" ht="13.5" customHeight="1">
      <c r="A130" s="324"/>
      <c r="B130" s="325">
        <v>5</v>
      </c>
      <c r="C130" s="346" t="s">
        <v>263</v>
      </c>
      <c r="D130" s="347">
        <v>1</v>
      </c>
      <c r="E130" s="348">
        <v>1</v>
      </c>
      <c r="F130" s="349">
        <v>1</v>
      </c>
      <c r="G130" s="324"/>
      <c r="H130" s="325">
        <v>5</v>
      </c>
      <c r="I130" s="346" t="s">
        <v>240</v>
      </c>
      <c r="J130" s="347">
        <v>0.15000000596046448</v>
      </c>
      <c r="K130" s="348">
        <v>1.6</v>
      </c>
      <c r="L130" s="349">
        <v>9.4E-2</v>
      </c>
    </row>
    <row r="131" spans="1:12" ht="13.5" customHeight="1">
      <c r="A131" s="324"/>
      <c r="B131" s="325"/>
      <c r="C131" s="346"/>
      <c r="D131" s="347"/>
      <c r="E131" s="348"/>
      <c r="F131" s="349"/>
      <c r="G131" s="324"/>
      <c r="H131" s="325">
        <v>6</v>
      </c>
      <c r="I131" s="346" t="s">
        <v>263</v>
      </c>
      <c r="J131" s="347">
        <v>1</v>
      </c>
      <c r="K131" s="348">
        <v>1</v>
      </c>
      <c r="L131" s="349">
        <v>1</v>
      </c>
    </row>
    <row r="132" spans="1:12" ht="13.5" customHeight="1">
      <c r="A132" s="324"/>
      <c r="B132" s="325"/>
      <c r="C132" s="346"/>
      <c r="D132" s="347"/>
      <c r="E132" s="348"/>
      <c r="F132" s="349"/>
      <c r="G132" s="324"/>
      <c r="H132" s="325"/>
      <c r="I132" s="346"/>
      <c r="J132" s="347"/>
      <c r="K132" s="348"/>
      <c r="L132" s="349"/>
    </row>
    <row r="133" spans="1:12" ht="13.5" customHeight="1">
      <c r="A133" s="324"/>
      <c r="B133" s="325"/>
      <c r="C133" s="346"/>
      <c r="D133" s="347"/>
      <c r="E133" s="348"/>
      <c r="F133" s="349"/>
      <c r="G133" s="324"/>
      <c r="H133" s="325"/>
      <c r="I133" s="346"/>
      <c r="J133" s="347"/>
      <c r="K133" s="348"/>
      <c r="L133" s="349"/>
    </row>
    <row r="134" spans="1:12" ht="13.5" customHeight="1">
      <c r="A134" s="324"/>
      <c r="B134" s="325"/>
      <c r="C134" s="346"/>
      <c r="D134" s="347"/>
      <c r="E134" s="348"/>
      <c r="F134" s="349"/>
      <c r="G134" s="324"/>
      <c r="H134" s="325"/>
      <c r="I134" s="346"/>
      <c r="J134" s="347"/>
      <c r="K134" s="348"/>
      <c r="L134" s="349"/>
    </row>
    <row r="135" spans="1:12" ht="13.5" customHeight="1">
      <c r="A135" s="324"/>
      <c r="B135" s="325"/>
      <c r="C135" s="346"/>
      <c r="D135" s="347"/>
      <c r="E135" s="348"/>
      <c r="F135" s="349"/>
      <c r="G135" s="324"/>
      <c r="H135" s="325"/>
      <c r="I135" s="346"/>
      <c r="J135" s="347"/>
      <c r="K135" s="348"/>
      <c r="L135" s="349"/>
    </row>
    <row r="136" spans="1:12" ht="13.5" customHeight="1">
      <c r="A136" s="324"/>
      <c r="B136" s="325"/>
      <c r="C136" s="346"/>
      <c r="D136" s="347"/>
      <c r="E136" s="348"/>
      <c r="F136" s="349"/>
      <c r="G136" s="324"/>
      <c r="H136" s="325"/>
      <c r="I136" s="346"/>
      <c r="J136" s="347"/>
      <c r="K136" s="348"/>
      <c r="L136" s="349"/>
    </row>
    <row r="137" spans="1:12" ht="13.5" customHeight="1">
      <c r="A137" s="324"/>
      <c r="B137" s="325"/>
      <c r="C137" s="346"/>
      <c r="D137" s="347"/>
      <c r="E137" s="348"/>
      <c r="F137" s="349"/>
      <c r="G137" s="324"/>
      <c r="H137" s="325"/>
      <c r="I137" s="346"/>
      <c r="J137" s="347"/>
      <c r="K137" s="348"/>
      <c r="L137" s="349"/>
    </row>
    <row r="138" spans="1:12" ht="13.5" customHeight="1">
      <c r="A138" s="324"/>
      <c r="B138" s="325"/>
      <c r="C138" s="346"/>
      <c r="D138" s="347"/>
      <c r="E138" s="348"/>
      <c r="F138" s="349"/>
      <c r="G138" s="324"/>
      <c r="H138" s="325"/>
      <c r="I138" s="346"/>
      <c r="J138" s="347"/>
      <c r="K138" s="348"/>
      <c r="L138" s="349"/>
    </row>
    <row r="139" spans="1:12" ht="13.5" customHeight="1">
      <c r="A139" s="330"/>
      <c r="B139" s="331"/>
      <c r="C139" s="350"/>
      <c r="D139" s="351"/>
      <c r="E139" s="352"/>
      <c r="F139" s="353"/>
      <c r="G139" s="330"/>
      <c r="H139" s="331"/>
      <c r="I139" s="350"/>
      <c r="J139" s="351"/>
      <c r="K139" s="352"/>
      <c r="L139" s="353"/>
    </row>
    <row r="140" spans="1:12" ht="13.5" customHeight="1">
      <c r="A140" s="336"/>
      <c r="B140" s="337"/>
      <c r="C140" s="354" t="s">
        <v>214</v>
      </c>
      <c r="D140" s="355"/>
      <c r="E140" s="355"/>
      <c r="F140" s="356">
        <v>1.2889999999999999</v>
      </c>
      <c r="G140" s="336"/>
      <c r="H140" s="337"/>
      <c r="I140" s="354" t="s">
        <v>214</v>
      </c>
      <c r="J140" s="355"/>
      <c r="K140" s="355"/>
      <c r="L140" s="356">
        <v>1.589</v>
      </c>
    </row>
    <row r="141" spans="1:12" ht="13.5" customHeight="1">
      <c r="A141" s="357"/>
      <c r="B141" s="358"/>
      <c r="C141" s="359" t="s">
        <v>264</v>
      </c>
      <c r="D141" s="360"/>
      <c r="E141" s="361"/>
      <c r="F141" s="362"/>
      <c r="G141" s="357"/>
      <c r="H141" s="358"/>
      <c r="I141" s="359" t="s">
        <v>270</v>
      </c>
      <c r="J141" s="360"/>
      <c r="K141" s="361"/>
      <c r="L141" s="362"/>
    </row>
    <row r="142" spans="1:12" ht="13.5" customHeight="1">
      <c r="G142" s="365"/>
      <c r="I142" s="365"/>
    </row>
    <row r="143" spans="1:12" ht="13.5" customHeight="1">
      <c r="G143" s="365"/>
      <c r="I143" s="365"/>
    </row>
    <row r="144" spans="1:12" ht="13.5" customHeight="1">
      <c r="G144" s="365"/>
      <c r="I144" s="365"/>
    </row>
    <row r="145" spans="1:12" ht="13.5" customHeight="1">
      <c r="G145" s="365"/>
      <c r="I145" s="365"/>
    </row>
    <row r="146" spans="1:12" ht="13.5" customHeight="1">
      <c r="G146" s="365"/>
      <c r="I146" s="365"/>
    </row>
    <row r="147" spans="1:12" ht="13.5" customHeight="1">
      <c r="G147" s="365"/>
      <c r="I147" s="365"/>
    </row>
    <row r="148" spans="1:12" ht="13.5" customHeight="1">
      <c r="G148" s="365"/>
      <c r="I148" s="365"/>
    </row>
    <row r="149" spans="1:12" ht="13.5" customHeight="1">
      <c r="G149" s="365"/>
      <c r="I149" s="365"/>
    </row>
    <row r="150" spans="1:12" ht="13.5" customHeight="1">
      <c r="G150" s="365"/>
      <c r="I150" s="365"/>
    </row>
    <row r="151" spans="1:12" s="364" customFormat="1" ht="13.5" customHeight="1">
      <c r="A151" s="302"/>
      <c r="B151" s="363"/>
      <c r="C151" s="302"/>
      <c r="E151" s="365"/>
      <c r="F151" s="365"/>
      <c r="G151" s="365"/>
      <c r="H151" s="363"/>
      <c r="I151" s="365"/>
      <c r="K151" s="365"/>
      <c r="L151" s="365"/>
    </row>
    <row r="152" spans="1:12" s="364" customFormat="1" ht="13.5" customHeight="1">
      <c r="A152" s="302"/>
      <c r="B152" s="363"/>
      <c r="C152" s="302"/>
      <c r="E152" s="365"/>
      <c r="F152" s="365"/>
      <c r="G152" s="365"/>
      <c r="H152" s="363"/>
      <c r="I152" s="365"/>
      <c r="K152" s="365"/>
      <c r="L152" s="365"/>
    </row>
    <row r="153" spans="1:12" s="364" customFormat="1" ht="13.5" customHeight="1">
      <c r="A153" s="302"/>
      <c r="B153" s="363"/>
      <c r="C153" s="302"/>
      <c r="E153" s="365"/>
      <c r="F153" s="365"/>
      <c r="G153" s="365"/>
      <c r="H153" s="363"/>
      <c r="I153" s="365"/>
      <c r="K153" s="365"/>
      <c r="L153" s="365"/>
    </row>
    <row r="154" spans="1:12" s="364" customFormat="1" ht="13.5" customHeight="1">
      <c r="A154" s="302"/>
      <c r="B154" s="363"/>
      <c r="C154" s="302"/>
      <c r="E154" s="365"/>
      <c r="F154" s="365"/>
      <c r="G154" s="365"/>
      <c r="H154" s="363"/>
      <c r="I154" s="365"/>
      <c r="K154" s="365"/>
      <c r="L154" s="365"/>
    </row>
    <row r="155" spans="1:12" s="364" customFormat="1" ht="13.5" customHeight="1">
      <c r="A155" s="302"/>
      <c r="B155" s="363"/>
      <c r="C155" s="302"/>
      <c r="E155" s="365"/>
      <c r="F155" s="365"/>
      <c r="G155" s="365"/>
      <c r="H155" s="363"/>
      <c r="I155" s="365"/>
      <c r="K155" s="365"/>
      <c r="L155" s="365"/>
    </row>
    <row r="156" spans="1:12" s="364" customFormat="1" ht="13.5" customHeight="1">
      <c r="A156" s="302"/>
      <c r="B156" s="363"/>
      <c r="C156" s="302"/>
      <c r="E156" s="365"/>
      <c r="F156" s="365"/>
      <c r="G156" s="365"/>
      <c r="H156" s="363"/>
      <c r="I156" s="365"/>
      <c r="K156" s="365"/>
      <c r="L156" s="365"/>
    </row>
    <row r="157" spans="1:12" s="364" customFormat="1" ht="13.5" customHeight="1">
      <c r="A157" s="302"/>
      <c r="B157" s="363"/>
      <c r="C157" s="302"/>
      <c r="E157" s="365"/>
      <c r="F157" s="365"/>
      <c r="G157" s="365"/>
      <c r="H157" s="363"/>
      <c r="I157" s="365"/>
      <c r="K157" s="365"/>
      <c r="L157" s="365"/>
    </row>
    <row r="158" spans="1:12" s="364" customFormat="1" ht="13.5" customHeight="1">
      <c r="A158" s="302"/>
      <c r="B158" s="363"/>
      <c r="C158" s="302"/>
      <c r="E158" s="365"/>
      <c r="F158" s="365"/>
      <c r="G158" s="365"/>
      <c r="H158" s="363"/>
      <c r="I158" s="365"/>
      <c r="K158" s="365"/>
      <c r="L158" s="365"/>
    </row>
    <row r="159" spans="1:12" s="364" customFormat="1" ht="13.5" customHeight="1">
      <c r="A159" s="302"/>
      <c r="B159" s="363"/>
      <c r="C159" s="302"/>
      <c r="E159" s="365"/>
      <c r="F159" s="365"/>
      <c r="G159" s="365"/>
      <c r="H159" s="363"/>
      <c r="I159" s="365"/>
      <c r="K159" s="365"/>
      <c r="L159" s="365"/>
    </row>
    <row r="160" spans="1:12" s="364" customFormat="1" ht="13.5" customHeight="1">
      <c r="A160" s="302"/>
      <c r="B160" s="363"/>
      <c r="C160" s="302"/>
      <c r="E160" s="365"/>
      <c r="F160" s="365"/>
      <c r="G160" s="365"/>
      <c r="H160" s="363"/>
      <c r="I160" s="365"/>
      <c r="K160" s="365"/>
      <c r="L160" s="365"/>
    </row>
    <row r="161" spans="1:12" s="364" customFormat="1" ht="13.5" customHeight="1">
      <c r="A161" s="302"/>
      <c r="B161" s="363"/>
      <c r="C161" s="302"/>
      <c r="E161" s="365"/>
      <c r="F161" s="365"/>
      <c r="G161" s="365"/>
      <c r="H161" s="363"/>
      <c r="I161" s="365"/>
      <c r="K161" s="365"/>
      <c r="L161" s="365"/>
    </row>
    <row r="162" spans="1:12" s="364" customFormat="1" ht="13.5" customHeight="1">
      <c r="A162" s="302"/>
      <c r="B162" s="363"/>
      <c r="C162" s="302"/>
      <c r="E162" s="365"/>
      <c r="F162" s="365"/>
      <c r="G162" s="365"/>
      <c r="H162" s="363"/>
      <c r="I162" s="365"/>
      <c r="K162" s="365"/>
      <c r="L162" s="365"/>
    </row>
    <row r="163" spans="1:12" s="364" customFormat="1" ht="13.5" customHeight="1">
      <c r="A163" s="302"/>
      <c r="B163" s="363"/>
      <c r="C163" s="302"/>
      <c r="E163" s="365"/>
      <c r="F163" s="365"/>
      <c r="G163" s="365"/>
      <c r="H163" s="363"/>
      <c r="I163" s="365"/>
      <c r="K163" s="365"/>
      <c r="L163" s="365"/>
    </row>
    <row r="164" spans="1:12" s="364" customFormat="1" ht="13.5" customHeight="1">
      <c r="A164" s="302"/>
      <c r="B164" s="363"/>
      <c r="C164" s="302"/>
      <c r="E164" s="365"/>
      <c r="F164" s="365"/>
      <c r="G164" s="365"/>
      <c r="H164" s="363"/>
      <c r="I164" s="365"/>
      <c r="K164" s="365"/>
      <c r="L164" s="365"/>
    </row>
    <row r="165" spans="1:12" s="364" customFormat="1" ht="13.5" customHeight="1">
      <c r="A165" s="302"/>
      <c r="B165" s="363"/>
      <c r="C165" s="302"/>
      <c r="E165" s="365"/>
      <c r="F165" s="365"/>
      <c r="G165" s="365"/>
      <c r="H165" s="363"/>
      <c r="I165" s="365"/>
      <c r="K165" s="365"/>
      <c r="L165" s="365"/>
    </row>
    <row r="166" spans="1:12" s="364" customFormat="1" ht="13.5" customHeight="1">
      <c r="A166" s="302"/>
      <c r="B166" s="363"/>
      <c r="C166" s="302"/>
      <c r="E166" s="365"/>
      <c r="F166" s="365"/>
      <c r="G166" s="365"/>
      <c r="H166" s="363"/>
      <c r="I166" s="365"/>
      <c r="K166" s="365"/>
      <c r="L166" s="365"/>
    </row>
    <row r="167" spans="1:12" s="364" customFormat="1" ht="13.5" customHeight="1">
      <c r="A167" s="302"/>
      <c r="B167" s="363"/>
      <c r="C167" s="302"/>
      <c r="E167" s="365"/>
      <c r="F167" s="365"/>
      <c r="G167" s="365"/>
      <c r="H167" s="363"/>
      <c r="I167" s="365"/>
      <c r="K167" s="365"/>
      <c r="L167" s="365"/>
    </row>
    <row r="168" spans="1:12" s="364" customFormat="1" ht="13.5" customHeight="1">
      <c r="A168" s="302"/>
      <c r="B168" s="363"/>
      <c r="C168" s="302"/>
      <c r="E168" s="365"/>
      <c r="F168" s="365"/>
      <c r="G168" s="365"/>
      <c r="H168" s="363"/>
      <c r="I168" s="365"/>
      <c r="K168" s="365"/>
      <c r="L168" s="365"/>
    </row>
    <row r="169" spans="1:12" s="364" customFormat="1" ht="13.5" customHeight="1">
      <c r="A169" s="302"/>
      <c r="B169" s="363"/>
      <c r="C169" s="302"/>
      <c r="E169" s="365"/>
      <c r="F169" s="365"/>
      <c r="G169" s="365"/>
      <c r="H169" s="363"/>
      <c r="I169" s="365"/>
      <c r="K169" s="365"/>
      <c r="L169" s="365"/>
    </row>
    <row r="170" spans="1:12" s="364" customFormat="1" ht="13.5" customHeight="1">
      <c r="A170" s="302"/>
      <c r="B170" s="363"/>
      <c r="C170" s="302"/>
      <c r="E170" s="365"/>
      <c r="F170" s="365"/>
      <c r="G170" s="365"/>
      <c r="H170" s="363"/>
      <c r="I170" s="365"/>
      <c r="K170" s="365"/>
      <c r="L170" s="365"/>
    </row>
    <row r="171" spans="1:12" s="364" customFormat="1" ht="13.5" customHeight="1">
      <c r="A171" s="302"/>
      <c r="B171" s="363"/>
      <c r="C171" s="302"/>
      <c r="E171" s="365"/>
      <c r="F171" s="365"/>
      <c r="G171" s="365"/>
      <c r="H171" s="363"/>
      <c r="I171" s="365"/>
      <c r="K171" s="365"/>
      <c r="L171" s="365"/>
    </row>
    <row r="172" spans="1:12" s="364" customFormat="1" ht="13.5" customHeight="1">
      <c r="A172" s="302"/>
      <c r="B172" s="363"/>
      <c r="C172" s="302"/>
      <c r="E172" s="365"/>
      <c r="F172" s="365"/>
      <c r="G172" s="365"/>
      <c r="H172" s="363"/>
      <c r="I172" s="365"/>
      <c r="K172" s="365"/>
      <c r="L172" s="365"/>
    </row>
    <row r="173" spans="1:12" s="364" customFormat="1" ht="13.5" customHeight="1">
      <c r="A173" s="302"/>
      <c r="B173" s="363"/>
      <c r="C173" s="302"/>
      <c r="E173" s="365"/>
      <c r="F173" s="365"/>
      <c r="G173" s="365"/>
      <c r="H173" s="363"/>
      <c r="I173" s="365"/>
      <c r="K173" s="365"/>
      <c r="L173" s="365"/>
    </row>
    <row r="174" spans="1:12" s="364" customFormat="1" ht="13.5" customHeight="1">
      <c r="A174" s="302"/>
      <c r="B174" s="363"/>
      <c r="C174" s="302"/>
      <c r="E174" s="365"/>
      <c r="F174" s="365"/>
      <c r="G174" s="365"/>
      <c r="H174" s="363"/>
      <c r="I174" s="365"/>
      <c r="K174" s="365"/>
      <c r="L174" s="365"/>
    </row>
    <row r="175" spans="1:12" s="364" customFormat="1" ht="13.5" customHeight="1">
      <c r="A175" s="302"/>
      <c r="B175" s="363"/>
      <c r="C175" s="302"/>
      <c r="E175" s="365"/>
      <c r="F175" s="365"/>
      <c r="G175" s="365"/>
      <c r="H175" s="363"/>
      <c r="I175" s="365"/>
      <c r="K175" s="365"/>
      <c r="L175" s="365"/>
    </row>
    <row r="176" spans="1:12" s="364" customFormat="1" ht="13.5" customHeight="1">
      <c r="A176" s="302"/>
      <c r="B176" s="363"/>
      <c r="C176" s="302"/>
      <c r="E176" s="365"/>
      <c r="F176" s="365"/>
      <c r="G176" s="365"/>
      <c r="H176" s="363"/>
      <c r="I176" s="365"/>
      <c r="K176" s="365"/>
      <c r="L176" s="365"/>
    </row>
    <row r="177" spans="1:12" s="364" customFormat="1" ht="13.5" customHeight="1">
      <c r="A177" s="302"/>
      <c r="B177" s="363"/>
      <c r="C177" s="302"/>
      <c r="E177" s="365"/>
      <c r="F177" s="365"/>
      <c r="G177" s="365"/>
      <c r="H177" s="363"/>
      <c r="I177" s="365"/>
      <c r="K177" s="365"/>
      <c r="L177" s="365"/>
    </row>
    <row r="178" spans="1:12" s="364" customFormat="1" ht="13.5" customHeight="1">
      <c r="A178" s="302"/>
      <c r="B178" s="363"/>
      <c r="C178" s="302"/>
      <c r="E178" s="365"/>
      <c r="F178" s="365"/>
      <c r="G178" s="365"/>
      <c r="H178" s="363"/>
      <c r="I178" s="365"/>
      <c r="K178" s="365"/>
      <c r="L178" s="365"/>
    </row>
    <row r="179" spans="1:12" s="364" customFormat="1" ht="13.5" customHeight="1">
      <c r="A179" s="302"/>
      <c r="B179" s="363"/>
      <c r="C179" s="302"/>
      <c r="E179" s="365"/>
      <c r="F179" s="365"/>
      <c r="G179" s="365"/>
      <c r="H179" s="363"/>
      <c r="I179" s="365"/>
      <c r="K179" s="365"/>
      <c r="L179" s="365"/>
    </row>
    <row r="180" spans="1:12" s="364" customFormat="1" ht="13.5" customHeight="1">
      <c r="A180" s="302"/>
      <c r="B180" s="363"/>
      <c r="C180" s="302"/>
      <c r="E180" s="365"/>
      <c r="F180" s="365"/>
      <c r="G180" s="365"/>
      <c r="H180" s="363"/>
      <c r="I180" s="365"/>
      <c r="K180" s="365"/>
      <c r="L180" s="365"/>
    </row>
    <row r="181" spans="1:12" s="364" customFormat="1" ht="13.5" customHeight="1">
      <c r="A181" s="302"/>
      <c r="B181" s="363"/>
      <c r="C181" s="302"/>
      <c r="E181" s="365"/>
      <c r="F181" s="365"/>
      <c r="G181" s="365"/>
      <c r="H181" s="363"/>
      <c r="I181" s="365"/>
      <c r="K181" s="365"/>
      <c r="L181" s="365"/>
    </row>
    <row r="182" spans="1:12" s="364" customFormat="1" ht="13.5" customHeight="1">
      <c r="A182" s="302"/>
      <c r="B182" s="363"/>
      <c r="C182" s="302"/>
      <c r="E182" s="365"/>
      <c r="F182" s="365"/>
      <c r="G182" s="365"/>
      <c r="H182" s="363"/>
      <c r="I182" s="365"/>
      <c r="K182" s="365"/>
      <c r="L182" s="365"/>
    </row>
    <row r="183" spans="1:12" s="364" customFormat="1" ht="13.5" customHeight="1">
      <c r="A183" s="302"/>
      <c r="B183" s="363"/>
      <c r="C183" s="302"/>
      <c r="E183" s="365"/>
      <c r="F183" s="365"/>
      <c r="G183" s="365"/>
      <c r="H183" s="363"/>
      <c r="I183" s="365"/>
      <c r="K183" s="365"/>
      <c r="L183" s="365"/>
    </row>
    <row r="184" spans="1:12" s="364" customFormat="1" ht="13.5" customHeight="1">
      <c r="A184" s="302"/>
      <c r="B184" s="363"/>
      <c r="C184" s="302"/>
      <c r="E184" s="365"/>
      <c r="F184" s="365"/>
      <c r="G184" s="365"/>
      <c r="H184" s="363"/>
      <c r="I184" s="365"/>
      <c r="K184" s="365"/>
      <c r="L184" s="365"/>
    </row>
    <row r="185" spans="1:12" s="364" customFormat="1" ht="13.5" customHeight="1">
      <c r="A185" s="302"/>
      <c r="B185" s="363"/>
      <c r="C185" s="302"/>
      <c r="E185" s="365"/>
      <c r="F185" s="365"/>
      <c r="G185" s="365"/>
      <c r="H185" s="363"/>
      <c r="I185" s="365"/>
      <c r="K185" s="365"/>
      <c r="L185" s="365"/>
    </row>
    <row r="186" spans="1:12" s="364" customFormat="1" ht="13.5" customHeight="1">
      <c r="A186" s="302"/>
      <c r="B186" s="363"/>
      <c r="C186" s="302"/>
      <c r="E186" s="365"/>
      <c r="F186" s="365"/>
      <c r="G186" s="365"/>
      <c r="H186" s="363"/>
      <c r="I186" s="365"/>
      <c r="K186" s="365"/>
      <c r="L186" s="365"/>
    </row>
    <row r="187" spans="1:12" s="364" customFormat="1" ht="13.5" customHeight="1">
      <c r="A187" s="302"/>
      <c r="B187" s="363"/>
      <c r="C187" s="302"/>
      <c r="E187" s="365"/>
      <c r="F187" s="365"/>
      <c r="G187" s="365"/>
      <c r="H187" s="363"/>
      <c r="I187" s="365"/>
      <c r="K187" s="365"/>
      <c r="L187" s="365"/>
    </row>
    <row r="188" spans="1:12" s="364" customFormat="1" ht="13.5" customHeight="1">
      <c r="A188" s="302"/>
      <c r="B188" s="363"/>
      <c r="C188" s="302"/>
      <c r="E188" s="365"/>
      <c r="F188" s="365"/>
      <c r="G188" s="365"/>
      <c r="H188" s="363"/>
      <c r="I188" s="365"/>
      <c r="K188" s="365"/>
      <c r="L188" s="365"/>
    </row>
    <row r="189" spans="1:12" s="364" customFormat="1" ht="13.5" customHeight="1">
      <c r="A189" s="302"/>
      <c r="B189" s="363"/>
      <c r="C189" s="302"/>
      <c r="E189" s="365"/>
      <c r="F189" s="365"/>
      <c r="G189" s="365"/>
      <c r="H189" s="363"/>
      <c r="I189" s="365"/>
      <c r="K189" s="365"/>
      <c r="L189" s="365"/>
    </row>
    <row r="190" spans="1:12" s="364" customFormat="1" ht="13.5" customHeight="1">
      <c r="A190" s="302"/>
      <c r="B190" s="363"/>
      <c r="C190" s="302"/>
      <c r="E190" s="365"/>
      <c r="F190" s="365"/>
      <c r="G190" s="365"/>
      <c r="H190" s="363"/>
      <c r="I190" s="365"/>
      <c r="K190" s="365"/>
      <c r="L190" s="365"/>
    </row>
    <row r="191" spans="1:12" s="364" customFormat="1" ht="13.5" customHeight="1">
      <c r="A191" s="302"/>
      <c r="B191" s="363"/>
      <c r="C191" s="302"/>
      <c r="E191" s="365"/>
      <c r="F191" s="365"/>
      <c r="G191" s="365"/>
      <c r="H191" s="363"/>
      <c r="I191" s="365"/>
      <c r="K191" s="365"/>
      <c r="L191" s="365"/>
    </row>
    <row r="192" spans="1:12" s="364" customFormat="1" ht="13.5" customHeight="1">
      <c r="A192" s="302"/>
      <c r="B192" s="363"/>
      <c r="C192" s="302"/>
      <c r="E192" s="365"/>
      <c r="F192" s="365"/>
      <c r="G192" s="365"/>
      <c r="H192" s="363"/>
      <c r="I192" s="365"/>
      <c r="K192" s="365"/>
      <c r="L192" s="365"/>
    </row>
    <row r="193" spans="1:12" s="364" customFormat="1" ht="13.5" customHeight="1">
      <c r="A193" s="302"/>
      <c r="B193" s="363"/>
      <c r="C193" s="302"/>
      <c r="E193" s="365"/>
      <c r="F193" s="365"/>
      <c r="G193" s="365"/>
      <c r="H193" s="363"/>
      <c r="I193" s="365"/>
      <c r="K193" s="365"/>
      <c r="L193" s="365"/>
    </row>
    <row r="194" spans="1:12" s="364" customFormat="1" ht="13.5" customHeight="1">
      <c r="A194" s="302"/>
      <c r="B194" s="363"/>
      <c r="C194" s="302"/>
      <c r="E194" s="365"/>
      <c r="F194" s="365"/>
      <c r="G194" s="365"/>
      <c r="H194" s="363"/>
      <c r="I194" s="365"/>
      <c r="K194" s="365"/>
      <c r="L194" s="365"/>
    </row>
    <row r="195" spans="1:12" s="364" customFormat="1" ht="13.5" customHeight="1">
      <c r="A195" s="302"/>
      <c r="B195" s="363"/>
      <c r="C195" s="302"/>
      <c r="E195" s="365"/>
      <c r="F195" s="365"/>
      <c r="G195" s="365"/>
      <c r="H195" s="363"/>
      <c r="I195" s="365"/>
      <c r="K195" s="365"/>
      <c r="L195" s="365"/>
    </row>
    <row r="196" spans="1:12" s="364" customFormat="1" ht="13.5" customHeight="1">
      <c r="A196" s="302"/>
      <c r="B196" s="363"/>
      <c r="C196" s="302"/>
      <c r="E196" s="365"/>
      <c r="F196" s="365"/>
      <c r="G196" s="365"/>
      <c r="H196" s="363"/>
      <c r="I196" s="365"/>
      <c r="K196" s="365"/>
      <c r="L196" s="365"/>
    </row>
    <row r="197" spans="1:12" s="364" customFormat="1" ht="13.5" customHeight="1">
      <c r="A197" s="302"/>
      <c r="B197" s="363"/>
      <c r="C197" s="302"/>
      <c r="E197" s="365"/>
      <c r="F197" s="365"/>
      <c r="G197" s="365"/>
      <c r="H197" s="363"/>
      <c r="I197" s="365"/>
      <c r="K197" s="365"/>
      <c r="L197" s="365"/>
    </row>
    <row r="198" spans="1:12" s="364" customFormat="1" ht="13.5" customHeight="1">
      <c r="A198" s="302"/>
      <c r="B198" s="363"/>
      <c r="C198" s="302"/>
      <c r="E198" s="365"/>
      <c r="F198" s="365"/>
      <c r="G198" s="365"/>
      <c r="H198" s="363"/>
      <c r="I198" s="365"/>
      <c r="K198" s="365"/>
      <c r="L198" s="365"/>
    </row>
    <row r="199" spans="1:12" s="364" customFormat="1" ht="13.5" customHeight="1">
      <c r="A199" s="302"/>
      <c r="B199" s="363"/>
      <c r="C199" s="302"/>
      <c r="E199" s="365"/>
      <c r="F199" s="365"/>
      <c r="G199" s="365"/>
      <c r="H199" s="363"/>
      <c r="I199" s="365"/>
      <c r="K199" s="365"/>
      <c r="L199" s="365"/>
    </row>
    <row r="200" spans="1:12" s="364" customFormat="1" ht="13.5" customHeight="1">
      <c r="A200" s="302"/>
      <c r="B200" s="363"/>
      <c r="C200" s="302"/>
      <c r="E200" s="365"/>
      <c r="F200" s="365"/>
      <c r="G200" s="365"/>
      <c r="H200" s="363"/>
      <c r="I200" s="365"/>
      <c r="K200" s="365"/>
      <c r="L200" s="365"/>
    </row>
    <row r="201" spans="1:12" s="364" customFormat="1" ht="13.5" customHeight="1">
      <c r="A201" s="302"/>
      <c r="B201" s="363"/>
      <c r="C201" s="302"/>
      <c r="E201" s="365"/>
      <c r="F201" s="365"/>
      <c r="G201" s="365"/>
      <c r="H201" s="363"/>
      <c r="I201" s="365"/>
      <c r="K201" s="365"/>
      <c r="L201" s="365"/>
    </row>
    <row r="202" spans="1:12" s="364" customFormat="1" ht="13.5" customHeight="1">
      <c r="A202" s="302"/>
      <c r="B202" s="363"/>
      <c r="C202" s="302"/>
      <c r="E202" s="365"/>
      <c r="F202" s="365"/>
      <c r="G202" s="365"/>
      <c r="H202" s="363"/>
      <c r="I202" s="365"/>
      <c r="K202" s="365"/>
      <c r="L202" s="365"/>
    </row>
    <row r="203" spans="1:12" s="364" customFormat="1" ht="13.5" customHeight="1">
      <c r="A203" s="302"/>
      <c r="B203" s="363"/>
      <c r="C203" s="302"/>
      <c r="E203" s="365"/>
      <c r="F203" s="365"/>
      <c r="G203" s="365"/>
      <c r="H203" s="363"/>
      <c r="I203" s="365"/>
      <c r="K203" s="365"/>
      <c r="L203" s="365"/>
    </row>
    <row r="204" spans="1:12" s="364" customFormat="1" ht="13.5" customHeight="1">
      <c r="A204" s="302"/>
      <c r="B204" s="363"/>
      <c r="C204" s="302"/>
      <c r="E204" s="365"/>
      <c r="F204" s="365"/>
      <c r="G204" s="365"/>
      <c r="H204" s="363"/>
      <c r="I204" s="365"/>
      <c r="K204" s="365"/>
      <c r="L204" s="365"/>
    </row>
    <row r="205" spans="1:12" s="364" customFormat="1" ht="13.5" customHeight="1">
      <c r="A205" s="302"/>
      <c r="B205" s="363"/>
      <c r="C205" s="302"/>
      <c r="E205" s="365"/>
      <c r="F205" s="365"/>
      <c r="G205" s="365"/>
      <c r="H205" s="363"/>
      <c r="I205" s="365"/>
      <c r="K205" s="365"/>
      <c r="L205" s="365"/>
    </row>
    <row r="206" spans="1:12" s="364" customFormat="1" ht="13.5" customHeight="1">
      <c r="A206" s="302"/>
      <c r="B206" s="363"/>
      <c r="C206" s="302"/>
      <c r="E206" s="365"/>
      <c r="F206" s="365"/>
      <c r="G206" s="365"/>
      <c r="H206" s="363"/>
      <c r="I206" s="365"/>
      <c r="K206" s="365"/>
      <c r="L206" s="365"/>
    </row>
    <row r="207" spans="1:12" s="364" customFormat="1" ht="13.5" customHeight="1">
      <c r="A207" s="302"/>
      <c r="B207" s="363"/>
      <c r="C207" s="302"/>
      <c r="E207" s="365"/>
      <c r="F207" s="365"/>
      <c r="G207" s="365"/>
      <c r="H207" s="363"/>
      <c r="I207" s="365"/>
      <c r="K207" s="365"/>
      <c r="L207" s="365"/>
    </row>
    <row r="208" spans="1:12" s="364" customFormat="1" ht="13.5" customHeight="1">
      <c r="A208" s="302"/>
      <c r="B208" s="363"/>
      <c r="C208" s="302"/>
      <c r="E208" s="365"/>
      <c r="F208" s="365"/>
      <c r="G208" s="365"/>
      <c r="H208" s="363"/>
      <c r="I208" s="365"/>
      <c r="K208" s="365"/>
      <c r="L208" s="365"/>
    </row>
    <row r="209" spans="1:12" s="364" customFormat="1" ht="13.5" customHeight="1">
      <c r="A209" s="302"/>
      <c r="B209" s="363"/>
      <c r="C209" s="302"/>
      <c r="E209" s="365"/>
      <c r="F209" s="365"/>
      <c r="G209" s="365"/>
      <c r="H209" s="363"/>
      <c r="I209" s="365"/>
      <c r="K209" s="365"/>
      <c r="L209" s="365"/>
    </row>
    <row r="210" spans="1:12" s="364" customFormat="1" ht="13.5" customHeight="1">
      <c r="A210" s="302"/>
      <c r="B210" s="363"/>
      <c r="C210" s="302"/>
      <c r="E210" s="365"/>
      <c r="F210" s="365"/>
      <c r="G210" s="365"/>
      <c r="H210" s="363"/>
      <c r="I210" s="365"/>
      <c r="K210" s="365"/>
      <c r="L210" s="365"/>
    </row>
    <row r="211" spans="1:12" s="364" customFormat="1" ht="13.5" customHeight="1">
      <c r="A211" s="302"/>
      <c r="B211" s="363"/>
      <c r="C211" s="302"/>
      <c r="E211" s="365"/>
      <c r="F211" s="365"/>
      <c r="G211" s="365"/>
      <c r="H211" s="363"/>
      <c r="I211" s="365"/>
      <c r="K211" s="365"/>
      <c r="L211" s="365"/>
    </row>
    <row r="212" spans="1:12" s="364" customFormat="1" ht="13.5" customHeight="1">
      <c r="A212" s="302"/>
      <c r="B212" s="363"/>
      <c r="C212" s="302"/>
      <c r="E212" s="365"/>
      <c r="F212" s="365"/>
      <c r="G212" s="365"/>
      <c r="H212" s="363"/>
      <c r="I212" s="365"/>
      <c r="K212" s="365"/>
      <c r="L212" s="365"/>
    </row>
    <row r="213" spans="1:12" s="364" customFormat="1" ht="13.5" customHeight="1">
      <c r="A213" s="302"/>
      <c r="B213" s="363"/>
      <c r="C213" s="302"/>
      <c r="E213" s="365"/>
      <c r="F213" s="365"/>
      <c r="G213" s="365"/>
      <c r="H213" s="363"/>
      <c r="I213" s="365"/>
      <c r="K213" s="365"/>
      <c r="L213" s="365"/>
    </row>
    <row r="214" spans="1:12" s="364" customFormat="1" ht="13.5" customHeight="1">
      <c r="A214" s="302"/>
      <c r="B214" s="363"/>
      <c r="C214" s="302"/>
      <c r="E214" s="365"/>
      <c r="F214" s="365"/>
      <c r="G214" s="365"/>
      <c r="H214" s="363"/>
      <c r="I214" s="365"/>
      <c r="K214" s="365"/>
      <c r="L214" s="365"/>
    </row>
    <row r="215" spans="1:12" s="364" customFormat="1" ht="13.5" customHeight="1">
      <c r="A215" s="302"/>
      <c r="B215" s="363"/>
      <c r="C215" s="302"/>
      <c r="E215" s="365"/>
      <c r="F215" s="365"/>
      <c r="G215" s="365"/>
      <c r="H215" s="363"/>
      <c r="I215" s="365"/>
      <c r="K215" s="365"/>
      <c r="L215" s="365"/>
    </row>
    <row r="216" spans="1:12" s="364" customFormat="1" ht="13.5" customHeight="1">
      <c r="A216" s="302"/>
      <c r="B216" s="363"/>
      <c r="C216" s="302"/>
      <c r="E216" s="365"/>
      <c r="F216" s="365"/>
      <c r="G216" s="365"/>
      <c r="H216" s="363"/>
      <c r="I216" s="365"/>
      <c r="K216" s="365"/>
      <c r="L216" s="365"/>
    </row>
    <row r="217" spans="1:12" s="364" customFormat="1" ht="13.5" customHeight="1">
      <c r="A217" s="302"/>
      <c r="B217" s="363"/>
      <c r="C217" s="302"/>
      <c r="E217" s="365"/>
      <c r="F217" s="365"/>
      <c r="G217" s="365"/>
      <c r="H217" s="363"/>
      <c r="I217" s="365"/>
      <c r="K217" s="365"/>
      <c r="L217" s="365"/>
    </row>
    <row r="218" spans="1:12" s="364" customFormat="1" ht="13.5" customHeight="1">
      <c r="A218" s="302"/>
      <c r="B218" s="363"/>
      <c r="C218" s="302"/>
      <c r="E218" s="365"/>
      <c r="F218" s="365"/>
      <c r="G218" s="365"/>
      <c r="H218" s="363"/>
      <c r="I218" s="365"/>
      <c r="K218" s="365"/>
      <c r="L218" s="365"/>
    </row>
    <row r="219" spans="1:12" s="364" customFormat="1" ht="13.5" customHeight="1">
      <c r="A219" s="302"/>
      <c r="B219" s="363"/>
      <c r="C219" s="302"/>
      <c r="E219" s="365"/>
      <c r="F219" s="365"/>
      <c r="G219" s="365"/>
      <c r="H219" s="363"/>
      <c r="I219" s="365"/>
      <c r="K219" s="365"/>
      <c r="L219" s="365"/>
    </row>
    <row r="220" spans="1:12" s="364" customFormat="1" ht="13.5" customHeight="1">
      <c r="A220" s="302"/>
      <c r="B220" s="363"/>
      <c r="C220" s="302"/>
      <c r="E220" s="365"/>
      <c r="F220" s="365"/>
      <c r="G220" s="365"/>
      <c r="H220" s="363"/>
      <c r="I220" s="365"/>
      <c r="K220" s="365"/>
      <c r="L220" s="365"/>
    </row>
    <row r="221" spans="1:12" s="364" customFormat="1" ht="13.5" customHeight="1">
      <c r="A221" s="302"/>
      <c r="B221" s="363"/>
      <c r="C221" s="302"/>
      <c r="E221" s="365"/>
      <c r="F221" s="365"/>
      <c r="G221" s="365"/>
      <c r="H221" s="363"/>
      <c r="I221" s="365"/>
      <c r="K221" s="365"/>
      <c r="L221" s="365"/>
    </row>
    <row r="222" spans="1:12" s="364" customFormat="1" ht="13.5" customHeight="1">
      <c r="A222" s="302"/>
      <c r="B222" s="363"/>
      <c r="C222" s="302"/>
      <c r="E222" s="365"/>
      <c r="F222" s="365"/>
      <c r="G222" s="365"/>
      <c r="H222" s="363"/>
      <c r="I222" s="365"/>
      <c r="K222" s="365"/>
      <c r="L222" s="365"/>
    </row>
    <row r="223" spans="1:12" s="364" customFormat="1" ht="13.5" customHeight="1">
      <c r="A223" s="302"/>
      <c r="B223" s="363"/>
      <c r="C223" s="302"/>
      <c r="E223" s="365"/>
      <c r="F223" s="365"/>
      <c r="G223" s="365"/>
      <c r="H223" s="363"/>
      <c r="I223" s="365"/>
      <c r="K223" s="365"/>
      <c r="L223" s="365"/>
    </row>
    <row r="224" spans="1:12" s="364" customFormat="1" ht="13.5" customHeight="1">
      <c r="A224" s="302"/>
      <c r="B224" s="363"/>
      <c r="C224" s="302"/>
      <c r="E224" s="365"/>
      <c r="F224" s="365"/>
      <c r="G224" s="365"/>
      <c r="H224" s="363"/>
      <c r="I224" s="365"/>
      <c r="K224" s="365"/>
      <c r="L224" s="365"/>
    </row>
    <row r="225" spans="1:12" s="364" customFormat="1" ht="13.5" customHeight="1">
      <c r="A225" s="302"/>
      <c r="B225" s="363"/>
      <c r="C225" s="302"/>
      <c r="E225" s="365"/>
      <c r="F225" s="365"/>
      <c r="G225" s="365"/>
      <c r="H225" s="363"/>
      <c r="I225" s="365"/>
      <c r="K225" s="365"/>
      <c r="L225" s="365"/>
    </row>
    <row r="226" spans="1:12" s="364" customFormat="1" ht="13.5" customHeight="1">
      <c r="A226" s="302"/>
      <c r="B226" s="363"/>
      <c r="C226" s="302"/>
      <c r="E226" s="365"/>
      <c r="F226" s="365"/>
      <c r="G226" s="365"/>
      <c r="H226" s="363"/>
      <c r="I226" s="365"/>
      <c r="K226" s="365"/>
      <c r="L226" s="365"/>
    </row>
    <row r="227" spans="1:12" s="364" customFormat="1" ht="13.5" customHeight="1">
      <c r="A227" s="302"/>
      <c r="B227" s="363"/>
      <c r="C227" s="302"/>
      <c r="E227" s="365"/>
      <c r="F227" s="365"/>
      <c r="G227" s="365"/>
      <c r="H227" s="363"/>
      <c r="I227" s="365"/>
      <c r="K227" s="365"/>
      <c r="L227" s="365"/>
    </row>
    <row r="228" spans="1:12" s="364" customFormat="1" ht="13.5" customHeight="1">
      <c r="A228" s="302"/>
      <c r="B228" s="363"/>
      <c r="C228" s="302"/>
      <c r="E228" s="365"/>
      <c r="F228" s="365"/>
      <c r="G228" s="365"/>
      <c r="H228" s="363"/>
      <c r="I228" s="365"/>
      <c r="K228" s="365"/>
      <c r="L228" s="365"/>
    </row>
    <row r="229" spans="1:12" s="364" customFormat="1" ht="13.5" customHeight="1">
      <c r="A229" s="302"/>
      <c r="B229" s="363"/>
      <c r="C229" s="302"/>
      <c r="E229" s="365"/>
      <c r="F229" s="365"/>
      <c r="G229" s="365"/>
      <c r="H229" s="363"/>
      <c r="I229" s="365"/>
      <c r="K229" s="365"/>
      <c r="L229" s="365"/>
    </row>
    <row r="230" spans="1:12" s="364" customFormat="1" ht="13.5" customHeight="1">
      <c r="A230" s="302"/>
      <c r="B230" s="363"/>
      <c r="C230" s="302"/>
      <c r="E230" s="365"/>
      <c r="F230" s="365"/>
      <c r="G230" s="365"/>
      <c r="H230" s="363"/>
      <c r="I230" s="365"/>
      <c r="K230" s="365"/>
      <c r="L230" s="365"/>
    </row>
    <row r="231" spans="1:12" s="364" customFormat="1" ht="13.5" customHeight="1">
      <c r="A231" s="302"/>
      <c r="B231" s="363"/>
      <c r="C231" s="302"/>
      <c r="E231" s="365"/>
      <c r="F231" s="365"/>
      <c r="G231" s="365"/>
      <c r="H231" s="363"/>
      <c r="I231" s="365"/>
      <c r="K231" s="365"/>
      <c r="L231" s="365"/>
    </row>
    <row r="232" spans="1:12" s="364" customFormat="1" ht="13.5" customHeight="1">
      <c r="A232" s="302"/>
      <c r="B232" s="363"/>
      <c r="C232" s="302"/>
      <c r="E232" s="365"/>
      <c r="F232" s="365"/>
      <c r="G232" s="365"/>
      <c r="H232" s="363"/>
      <c r="I232" s="365"/>
      <c r="K232" s="365"/>
      <c r="L232" s="365"/>
    </row>
    <row r="233" spans="1:12" s="364" customFormat="1" ht="13.5" customHeight="1">
      <c r="A233" s="302"/>
      <c r="B233" s="363"/>
      <c r="C233" s="302"/>
      <c r="E233" s="365"/>
      <c r="F233" s="365"/>
      <c r="G233" s="365"/>
      <c r="H233" s="363"/>
      <c r="I233" s="365"/>
      <c r="K233" s="365"/>
      <c r="L233" s="365"/>
    </row>
    <row r="234" spans="1:12" s="364" customFormat="1" ht="13.5" customHeight="1">
      <c r="A234" s="302"/>
      <c r="B234" s="363"/>
      <c r="C234" s="302"/>
      <c r="E234" s="365"/>
      <c r="F234" s="365"/>
      <c r="G234" s="365"/>
      <c r="H234" s="363"/>
      <c r="I234" s="365"/>
      <c r="K234" s="365"/>
      <c r="L234" s="365"/>
    </row>
    <row r="235" spans="1:12" s="364" customFormat="1" ht="13.5" customHeight="1">
      <c r="A235" s="302"/>
      <c r="B235" s="363"/>
      <c r="C235" s="302"/>
      <c r="E235" s="365"/>
      <c r="F235" s="365"/>
      <c r="G235" s="365"/>
      <c r="H235" s="363"/>
      <c r="I235" s="365"/>
      <c r="K235" s="365"/>
      <c r="L235" s="365"/>
    </row>
    <row r="236" spans="1:12" s="364" customFormat="1" ht="13.5" customHeight="1">
      <c r="A236" s="302"/>
      <c r="B236" s="363"/>
      <c r="C236" s="302"/>
      <c r="E236" s="365"/>
      <c r="F236" s="365"/>
      <c r="G236" s="365"/>
      <c r="H236" s="363"/>
      <c r="I236" s="365"/>
      <c r="K236" s="365"/>
      <c r="L236" s="365"/>
    </row>
    <row r="237" spans="1:12" s="364" customFormat="1" ht="13.5" customHeight="1">
      <c r="A237" s="302"/>
      <c r="B237" s="363"/>
      <c r="C237" s="302"/>
      <c r="E237" s="365"/>
      <c r="F237" s="365"/>
      <c r="G237" s="365"/>
      <c r="H237" s="363"/>
      <c r="I237" s="365"/>
      <c r="K237" s="365"/>
      <c r="L237" s="365"/>
    </row>
    <row r="238" spans="1:12" s="364" customFormat="1" ht="13.5" customHeight="1">
      <c r="A238" s="302"/>
      <c r="B238" s="363"/>
      <c r="C238" s="302"/>
      <c r="E238" s="365"/>
      <c r="F238" s="365"/>
      <c r="G238" s="365"/>
      <c r="H238" s="363"/>
      <c r="I238" s="365"/>
      <c r="K238" s="365"/>
      <c r="L238" s="365"/>
    </row>
    <row r="239" spans="1:12" s="364" customFormat="1" ht="13.5" customHeight="1">
      <c r="A239" s="302"/>
      <c r="B239" s="363"/>
      <c r="C239" s="302"/>
      <c r="E239" s="365"/>
      <c r="F239" s="365"/>
      <c r="G239" s="365"/>
      <c r="H239" s="363"/>
      <c r="I239" s="365"/>
      <c r="K239" s="365"/>
      <c r="L239" s="365"/>
    </row>
    <row r="240" spans="1:12" s="364" customFormat="1" ht="13.5" customHeight="1">
      <c r="A240" s="302"/>
      <c r="B240" s="363"/>
      <c r="C240" s="302"/>
      <c r="E240" s="365"/>
      <c r="F240" s="365"/>
      <c r="G240" s="365"/>
      <c r="H240" s="363"/>
      <c r="I240" s="365"/>
      <c r="K240" s="365"/>
      <c r="L240" s="365"/>
    </row>
    <row r="241" spans="1:12" s="364" customFormat="1" ht="13.5" customHeight="1">
      <c r="A241" s="302"/>
      <c r="B241" s="363"/>
      <c r="C241" s="302"/>
      <c r="E241" s="365"/>
      <c r="F241" s="365"/>
      <c r="G241" s="365"/>
      <c r="H241" s="363"/>
      <c r="I241" s="365"/>
      <c r="K241" s="365"/>
      <c r="L241" s="365"/>
    </row>
    <row r="242" spans="1:12" s="364" customFormat="1" ht="13.5" customHeight="1">
      <c r="A242" s="302"/>
      <c r="B242" s="363"/>
      <c r="C242" s="302"/>
      <c r="E242" s="365"/>
      <c r="F242" s="365"/>
      <c r="G242" s="365"/>
      <c r="H242" s="363"/>
      <c r="I242" s="365"/>
      <c r="K242" s="365"/>
      <c r="L242" s="365"/>
    </row>
    <row r="243" spans="1:12" s="364" customFormat="1" ht="13.5" customHeight="1">
      <c r="A243" s="302"/>
      <c r="B243" s="363"/>
      <c r="C243" s="302"/>
      <c r="E243" s="365"/>
      <c r="F243" s="365"/>
      <c r="G243" s="365"/>
      <c r="H243" s="363"/>
      <c r="I243" s="365"/>
      <c r="K243" s="365"/>
      <c r="L243" s="365"/>
    </row>
    <row r="244" spans="1:12" s="364" customFormat="1" ht="13.5" customHeight="1">
      <c r="A244" s="302"/>
      <c r="B244" s="363"/>
      <c r="C244" s="302"/>
      <c r="E244" s="365"/>
      <c r="F244" s="365"/>
      <c r="G244" s="365"/>
      <c r="H244" s="363"/>
      <c r="I244" s="365"/>
      <c r="K244" s="365"/>
      <c r="L244" s="365"/>
    </row>
    <row r="245" spans="1:12" s="364" customFormat="1" ht="13.5" customHeight="1">
      <c r="A245" s="302"/>
      <c r="B245" s="363"/>
      <c r="C245" s="302"/>
      <c r="E245" s="365"/>
      <c r="F245" s="365"/>
      <c r="G245" s="365"/>
      <c r="H245" s="363"/>
      <c r="I245" s="365"/>
      <c r="K245" s="365"/>
      <c r="L245" s="365"/>
    </row>
    <row r="246" spans="1:12" s="364" customFormat="1" ht="13.5" customHeight="1">
      <c r="A246" s="302"/>
      <c r="B246" s="363"/>
      <c r="C246" s="302"/>
      <c r="E246" s="365"/>
      <c r="F246" s="365"/>
      <c r="G246" s="365"/>
      <c r="H246" s="363"/>
      <c r="I246" s="365"/>
      <c r="K246" s="365"/>
      <c r="L246" s="365"/>
    </row>
    <row r="247" spans="1:12" s="364" customFormat="1" ht="13.5" customHeight="1">
      <c r="A247" s="302"/>
      <c r="B247" s="363"/>
      <c r="C247" s="302"/>
      <c r="E247" s="365"/>
      <c r="F247" s="365"/>
      <c r="G247" s="365"/>
      <c r="H247" s="363"/>
      <c r="I247" s="365"/>
      <c r="K247" s="365"/>
      <c r="L247" s="365"/>
    </row>
    <row r="248" spans="1:12" s="364" customFormat="1" ht="13.5" customHeight="1">
      <c r="A248" s="302"/>
      <c r="B248" s="363"/>
      <c r="C248" s="302"/>
      <c r="E248" s="365"/>
      <c r="F248" s="365"/>
      <c r="G248" s="365"/>
      <c r="H248" s="363"/>
      <c r="I248" s="365"/>
      <c r="K248" s="365"/>
      <c r="L248" s="365"/>
    </row>
    <row r="249" spans="1:12" s="364" customFormat="1" ht="13.5" customHeight="1">
      <c r="A249" s="302"/>
      <c r="B249" s="363"/>
      <c r="C249" s="302"/>
      <c r="E249" s="365"/>
      <c r="F249" s="365"/>
      <c r="G249" s="365"/>
      <c r="H249" s="363"/>
      <c r="I249" s="365"/>
      <c r="K249" s="365"/>
      <c r="L249" s="365"/>
    </row>
    <row r="250" spans="1:12" s="364" customFormat="1" ht="13.5" customHeight="1">
      <c r="A250" s="302"/>
      <c r="B250" s="363"/>
      <c r="C250" s="302"/>
      <c r="E250" s="365"/>
      <c r="F250" s="365"/>
      <c r="G250" s="365"/>
      <c r="H250" s="363"/>
      <c r="I250" s="365"/>
      <c r="K250" s="365"/>
      <c r="L250" s="365"/>
    </row>
    <row r="251" spans="1:12" s="364" customFormat="1" ht="13.5" customHeight="1">
      <c r="A251" s="302"/>
      <c r="B251" s="363"/>
      <c r="C251" s="302"/>
      <c r="E251" s="365"/>
      <c r="F251" s="365"/>
      <c r="G251" s="365"/>
      <c r="H251" s="363"/>
      <c r="I251" s="365"/>
      <c r="K251" s="365"/>
      <c r="L251" s="365"/>
    </row>
    <row r="252" spans="1:12" s="364" customFormat="1" ht="13.5" customHeight="1">
      <c r="A252" s="302"/>
      <c r="B252" s="363"/>
      <c r="C252" s="302"/>
      <c r="E252" s="365"/>
      <c r="F252" s="365"/>
      <c r="G252" s="365"/>
      <c r="H252" s="363"/>
      <c r="I252" s="365"/>
      <c r="K252" s="365"/>
      <c r="L252" s="365"/>
    </row>
    <row r="253" spans="1:12" s="364" customFormat="1" ht="13.5" customHeight="1">
      <c r="A253" s="302"/>
      <c r="B253" s="363"/>
      <c r="C253" s="302"/>
      <c r="E253" s="365"/>
      <c r="F253" s="365"/>
      <c r="G253" s="365"/>
      <c r="H253" s="363"/>
      <c r="I253" s="365"/>
      <c r="K253" s="365"/>
      <c r="L253" s="365"/>
    </row>
    <row r="254" spans="1:12" s="364" customFormat="1" ht="13.5" customHeight="1">
      <c r="A254" s="302"/>
      <c r="B254" s="363"/>
      <c r="C254" s="302"/>
      <c r="E254" s="365"/>
      <c r="F254" s="365"/>
      <c r="G254" s="365"/>
      <c r="H254" s="363"/>
      <c r="I254" s="365"/>
      <c r="K254" s="365"/>
      <c r="L254" s="365"/>
    </row>
    <row r="255" spans="1:12" s="364" customFormat="1" ht="13.5" customHeight="1">
      <c r="A255" s="302"/>
      <c r="B255" s="363"/>
      <c r="C255" s="302"/>
      <c r="E255" s="365"/>
      <c r="F255" s="365"/>
      <c r="G255" s="365"/>
      <c r="H255" s="363"/>
      <c r="I255" s="365"/>
      <c r="K255" s="365"/>
      <c r="L255" s="365"/>
    </row>
    <row r="256" spans="1:12" s="364" customFormat="1" ht="13.5" customHeight="1">
      <c r="A256" s="302"/>
      <c r="B256" s="363"/>
      <c r="C256" s="302"/>
      <c r="E256" s="365"/>
      <c r="F256" s="365"/>
      <c r="G256" s="365"/>
      <c r="H256" s="363"/>
      <c r="I256" s="365"/>
      <c r="K256" s="365"/>
      <c r="L256" s="365"/>
    </row>
    <row r="257" spans="1:12" s="364" customFormat="1" ht="13.5" customHeight="1">
      <c r="A257" s="302"/>
      <c r="B257" s="363"/>
      <c r="C257" s="302"/>
      <c r="E257" s="365"/>
      <c r="F257" s="365"/>
      <c r="G257" s="365"/>
      <c r="H257" s="363"/>
      <c r="I257" s="365"/>
      <c r="K257" s="365"/>
      <c r="L257" s="365"/>
    </row>
    <row r="258" spans="1:12" s="364" customFormat="1" ht="13.5" customHeight="1">
      <c r="A258" s="302"/>
      <c r="B258" s="363"/>
      <c r="C258" s="302"/>
      <c r="E258" s="365"/>
      <c r="F258" s="365"/>
      <c r="G258" s="365"/>
      <c r="H258" s="363"/>
      <c r="I258" s="365"/>
      <c r="K258" s="365"/>
      <c r="L258" s="365"/>
    </row>
    <row r="259" spans="1:12" s="364" customFormat="1" ht="13.5" customHeight="1">
      <c r="A259" s="302"/>
      <c r="B259" s="363"/>
      <c r="C259" s="302"/>
      <c r="E259" s="365"/>
      <c r="F259" s="365"/>
      <c r="G259" s="365"/>
      <c r="H259" s="363"/>
      <c r="I259" s="365"/>
      <c r="K259" s="365"/>
      <c r="L259" s="365"/>
    </row>
    <row r="260" spans="1:12" s="364" customFormat="1" ht="13.5" customHeight="1">
      <c r="A260" s="302"/>
      <c r="B260" s="363"/>
      <c r="C260" s="302"/>
      <c r="E260" s="365"/>
      <c r="F260" s="365"/>
      <c r="G260" s="365"/>
      <c r="H260" s="363"/>
      <c r="I260" s="365"/>
      <c r="K260" s="365"/>
      <c r="L260" s="365"/>
    </row>
    <row r="261" spans="1:12" s="364" customFormat="1" ht="13.5" customHeight="1">
      <c r="A261" s="302"/>
      <c r="B261" s="363"/>
      <c r="C261" s="302"/>
      <c r="E261" s="365"/>
      <c r="F261" s="365"/>
      <c r="G261" s="365"/>
      <c r="H261" s="363"/>
      <c r="I261" s="365"/>
      <c r="K261" s="365"/>
      <c r="L261" s="365"/>
    </row>
    <row r="262" spans="1:12" s="364" customFormat="1" ht="13.5" customHeight="1">
      <c r="A262" s="302"/>
      <c r="B262" s="363"/>
      <c r="C262" s="302"/>
      <c r="E262" s="365"/>
      <c r="F262" s="365"/>
      <c r="G262" s="365"/>
      <c r="H262" s="363"/>
      <c r="I262" s="365"/>
      <c r="K262" s="365"/>
      <c r="L262" s="365"/>
    </row>
    <row r="263" spans="1:12" s="364" customFormat="1" ht="13.5" customHeight="1">
      <c r="A263" s="302"/>
      <c r="B263" s="363"/>
      <c r="C263" s="302"/>
      <c r="E263" s="365"/>
      <c r="F263" s="365"/>
      <c r="G263" s="365"/>
      <c r="H263" s="363"/>
      <c r="I263" s="365"/>
      <c r="K263" s="365"/>
      <c r="L263" s="365"/>
    </row>
    <row r="264" spans="1:12" s="364" customFormat="1" ht="13.5" customHeight="1">
      <c r="A264" s="302"/>
      <c r="B264" s="363"/>
      <c r="C264" s="302"/>
      <c r="E264" s="365"/>
      <c r="F264" s="365"/>
      <c r="G264" s="365"/>
      <c r="H264" s="363"/>
      <c r="I264" s="365"/>
      <c r="K264" s="365"/>
      <c r="L264" s="365"/>
    </row>
    <row r="265" spans="1:12" s="364" customFormat="1" ht="13.5" customHeight="1">
      <c r="A265" s="302"/>
      <c r="B265" s="363"/>
      <c r="C265" s="302"/>
      <c r="E265" s="365"/>
      <c r="F265" s="365"/>
      <c r="G265" s="365"/>
      <c r="H265" s="363"/>
      <c r="I265" s="365"/>
      <c r="K265" s="365"/>
      <c r="L265" s="365"/>
    </row>
    <row r="266" spans="1:12" s="364" customFormat="1" ht="13.5" customHeight="1">
      <c r="A266" s="302"/>
      <c r="B266" s="363"/>
      <c r="C266" s="302"/>
      <c r="E266" s="365"/>
      <c r="F266" s="365"/>
      <c r="G266" s="365"/>
      <c r="H266" s="363"/>
      <c r="I266" s="365"/>
      <c r="K266" s="365"/>
      <c r="L266" s="365"/>
    </row>
    <row r="267" spans="1:12" s="364" customFormat="1" ht="13.5" customHeight="1">
      <c r="A267" s="302"/>
      <c r="B267" s="363"/>
      <c r="C267" s="302"/>
      <c r="E267" s="365"/>
      <c r="F267" s="365"/>
      <c r="G267" s="365"/>
      <c r="H267" s="363"/>
      <c r="I267" s="365"/>
      <c r="K267" s="365"/>
      <c r="L267" s="365"/>
    </row>
    <row r="268" spans="1:12" s="364" customFormat="1" ht="13.5" customHeight="1">
      <c r="A268" s="302"/>
      <c r="B268" s="363"/>
      <c r="C268" s="302"/>
      <c r="E268" s="365"/>
      <c r="F268" s="365"/>
      <c r="G268" s="365"/>
      <c r="H268" s="363"/>
      <c r="I268" s="365"/>
      <c r="K268" s="365"/>
      <c r="L268" s="365"/>
    </row>
    <row r="269" spans="1:12" s="364" customFormat="1" ht="13.5" customHeight="1">
      <c r="A269" s="302"/>
      <c r="B269" s="363"/>
      <c r="C269" s="302"/>
      <c r="E269" s="365"/>
      <c r="F269" s="365"/>
      <c r="G269" s="365"/>
      <c r="H269" s="363"/>
      <c r="I269" s="365"/>
      <c r="K269" s="365"/>
      <c r="L269" s="365"/>
    </row>
    <row r="270" spans="1:12" s="364" customFormat="1" ht="13.5" customHeight="1">
      <c r="A270" s="302"/>
      <c r="B270" s="363"/>
      <c r="C270" s="302"/>
      <c r="E270" s="365"/>
      <c r="F270" s="365"/>
      <c r="G270" s="365"/>
      <c r="H270" s="363"/>
      <c r="I270" s="365"/>
      <c r="K270" s="365"/>
      <c r="L270" s="365"/>
    </row>
    <row r="271" spans="1:12" s="364" customFormat="1" ht="13.5" customHeight="1">
      <c r="A271" s="302"/>
      <c r="B271" s="363"/>
      <c r="C271" s="302"/>
      <c r="E271" s="365"/>
      <c r="F271" s="365"/>
      <c r="G271" s="365"/>
      <c r="H271" s="363"/>
      <c r="I271" s="365"/>
      <c r="K271" s="365"/>
      <c r="L271" s="365"/>
    </row>
    <row r="272" spans="1:12" s="364" customFormat="1" ht="13.5" customHeight="1">
      <c r="A272" s="302"/>
      <c r="B272" s="363"/>
      <c r="C272" s="302"/>
      <c r="E272" s="365"/>
      <c r="F272" s="365"/>
      <c r="G272" s="365"/>
      <c r="H272" s="363"/>
      <c r="I272" s="365"/>
      <c r="K272" s="365"/>
      <c r="L272" s="365"/>
    </row>
    <row r="273" spans="1:12" s="364" customFormat="1" ht="13.5" customHeight="1">
      <c r="A273" s="302"/>
      <c r="B273" s="363"/>
      <c r="C273" s="302"/>
      <c r="E273" s="365"/>
      <c r="F273" s="365"/>
      <c r="G273" s="365"/>
      <c r="H273" s="363"/>
      <c r="I273" s="365"/>
      <c r="K273" s="365"/>
      <c r="L273" s="365"/>
    </row>
    <row r="274" spans="1:12" s="364" customFormat="1" ht="13.5" customHeight="1">
      <c r="A274" s="302"/>
      <c r="B274" s="363"/>
      <c r="C274" s="302"/>
      <c r="E274" s="365"/>
      <c r="F274" s="365"/>
      <c r="G274" s="365"/>
      <c r="H274" s="363"/>
      <c r="I274" s="365"/>
      <c r="K274" s="365"/>
      <c r="L274" s="365"/>
    </row>
    <row r="275" spans="1:12" s="364" customFormat="1" ht="13.5" customHeight="1">
      <c r="A275" s="302"/>
      <c r="B275" s="363"/>
      <c r="C275" s="302"/>
      <c r="E275" s="365"/>
      <c r="F275" s="365"/>
      <c r="G275" s="365"/>
      <c r="H275" s="363"/>
      <c r="I275" s="365"/>
      <c r="K275" s="365"/>
      <c r="L275" s="365"/>
    </row>
    <row r="276" spans="1:12" s="364" customFormat="1" ht="13.5" customHeight="1">
      <c r="A276" s="302"/>
      <c r="B276" s="363"/>
      <c r="C276" s="302"/>
      <c r="E276" s="365"/>
      <c r="F276" s="365"/>
      <c r="G276" s="365"/>
      <c r="H276" s="363"/>
      <c r="I276" s="365"/>
      <c r="K276" s="365"/>
      <c r="L276" s="365"/>
    </row>
    <row r="277" spans="1:12" s="364" customFormat="1" ht="13.5" customHeight="1">
      <c r="A277" s="302"/>
      <c r="B277" s="363"/>
      <c r="C277" s="302"/>
      <c r="E277" s="365"/>
      <c r="F277" s="365"/>
      <c r="G277" s="365"/>
      <c r="H277" s="363"/>
      <c r="I277" s="365"/>
      <c r="K277" s="365"/>
      <c r="L277" s="365"/>
    </row>
    <row r="278" spans="1:12" s="364" customFormat="1" ht="13.5" customHeight="1">
      <c r="A278" s="302"/>
      <c r="B278" s="363"/>
      <c r="C278" s="302"/>
      <c r="E278" s="365"/>
      <c r="F278" s="365"/>
      <c r="G278" s="365"/>
      <c r="H278" s="363"/>
      <c r="I278" s="365"/>
      <c r="K278" s="365"/>
      <c r="L278" s="365"/>
    </row>
    <row r="279" spans="1:12" s="364" customFormat="1" ht="13.5" customHeight="1">
      <c r="A279" s="302"/>
      <c r="B279" s="363"/>
      <c r="C279" s="302"/>
      <c r="E279" s="365"/>
      <c r="F279" s="365"/>
      <c r="G279" s="365"/>
      <c r="H279" s="363"/>
      <c r="I279" s="365"/>
      <c r="K279" s="365"/>
      <c r="L279" s="365"/>
    </row>
    <row r="280" spans="1:12" s="364" customFormat="1" ht="13.5" customHeight="1">
      <c r="A280" s="302"/>
      <c r="B280" s="363"/>
      <c r="C280" s="302"/>
      <c r="E280" s="365"/>
      <c r="F280" s="365"/>
      <c r="G280" s="365"/>
      <c r="H280" s="363"/>
      <c r="I280" s="365"/>
      <c r="K280" s="365"/>
      <c r="L280" s="365"/>
    </row>
    <row r="281" spans="1:12" s="364" customFormat="1" ht="13.5" customHeight="1">
      <c r="A281" s="302"/>
      <c r="B281" s="363"/>
      <c r="C281" s="302"/>
      <c r="E281" s="365"/>
      <c r="F281" s="365"/>
      <c r="G281" s="365"/>
      <c r="H281" s="363"/>
      <c r="I281" s="365"/>
      <c r="K281" s="365"/>
      <c r="L281" s="365"/>
    </row>
    <row r="282" spans="1:12" s="364" customFormat="1" ht="13.5" customHeight="1">
      <c r="A282" s="302"/>
      <c r="B282" s="363"/>
      <c r="C282" s="302"/>
      <c r="E282" s="365"/>
      <c r="F282" s="365"/>
      <c r="G282" s="365"/>
      <c r="H282" s="363"/>
      <c r="I282" s="365"/>
      <c r="K282" s="365"/>
      <c r="L282" s="365"/>
    </row>
    <row r="283" spans="1:12" s="364" customFormat="1" ht="13.5" customHeight="1">
      <c r="A283" s="302"/>
      <c r="B283" s="363"/>
      <c r="C283" s="302"/>
      <c r="E283" s="365"/>
      <c r="F283" s="365"/>
      <c r="G283" s="365"/>
      <c r="H283" s="363"/>
      <c r="I283" s="365"/>
      <c r="K283" s="365"/>
      <c r="L283" s="365"/>
    </row>
    <row r="284" spans="1:12" s="364" customFormat="1" ht="13.5" customHeight="1">
      <c r="A284" s="302"/>
      <c r="B284" s="363"/>
      <c r="C284" s="302"/>
      <c r="E284" s="365"/>
      <c r="F284" s="365"/>
      <c r="G284" s="365"/>
      <c r="H284" s="363"/>
      <c r="I284" s="365"/>
      <c r="K284" s="365"/>
      <c r="L284" s="365"/>
    </row>
    <row r="285" spans="1:12" s="364" customFormat="1" ht="13.5" customHeight="1">
      <c r="A285" s="302"/>
      <c r="B285" s="363"/>
      <c r="C285" s="302"/>
      <c r="E285" s="365"/>
      <c r="F285" s="365"/>
      <c r="G285" s="365"/>
      <c r="H285" s="363"/>
      <c r="I285" s="365"/>
      <c r="K285" s="365"/>
      <c r="L285" s="365"/>
    </row>
    <row r="286" spans="1:12" s="364" customFormat="1" ht="13.5" customHeight="1">
      <c r="A286" s="302"/>
      <c r="B286" s="363"/>
      <c r="C286" s="302"/>
      <c r="E286" s="365"/>
      <c r="F286" s="365"/>
      <c r="G286" s="365"/>
      <c r="H286" s="363"/>
      <c r="I286" s="365"/>
      <c r="K286" s="365"/>
      <c r="L286" s="365"/>
    </row>
    <row r="287" spans="1:12" s="364" customFormat="1" ht="13.5" customHeight="1">
      <c r="A287" s="302"/>
      <c r="B287" s="363"/>
      <c r="C287" s="302"/>
      <c r="E287" s="365"/>
      <c r="F287" s="365"/>
      <c r="G287" s="365"/>
      <c r="H287" s="363"/>
      <c r="I287" s="365"/>
      <c r="K287" s="365"/>
      <c r="L287" s="365"/>
    </row>
    <row r="288" spans="1:12" s="364" customFormat="1" ht="13.5" customHeight="1">
      <c r="A288" s="302"/>
      <c r="B288" s="363"/>
      <c r="C288" s="302"/>
      <c r="E288" s="365"/>
      <c r="F288" s="365"/>
      <c r="G288" s="365"/>
      <c r="H288" s="363"/>
      <c r="I288" s="365"/>
      <c r="K288" s="365"/>
      <c r="L288" s="365"/>
    </row>
    <row r="289" spans="1:12" s="364" customFormat="1" ht="13.5" customHeight="1">
      <c r="A289" s="302"/>
      <c r="B289" s="363"/>
      <c r="C289" s="302"/>
      <c r="E289" s="365"/>
      <c r="F289" s="365"/>
      <c r="G289" s="365"/>
      <c r="H289" s="363"/>
      <c r="I289" s="365"/>
      <c r="K289" s="365"/>
      <c r="L289" s="365"/>
    </row>
    <row r="290" spans="1:12" s="364" customFormat="1" ht="13.5" customHeight="1">
      <c r="A290" s="302"/>
      <c r="B290" s="363"/>
      <c r="C290" s="302"/>
      <c r="E290" s="365"/>
      <c r="F290" s="365"/>
      <c r="G290" s="365"/>
      <c r="H290" s="363"/>
      <c r="I290" s="365"/>
      <c r="K290" s="365"/>
      <c r="L290" s="365"/>
    </row>
    <row r="291" spans="1:12" s="364" customFormat="1" ht="13.5" customHeight="1">
      <c r="A291" s="302"/>
      <c r="B291" s="363"/>
      <c r="C291" s="302"/>
      <c r="E291" s="365"/>
      <c r="F291" s="365"/>
      <c r="G291" s="365"/>
      <c r="H291" s="363"/>
      <c r="I291" s="365"/>
      <c r="K291" s="365"/>
      <c r="L291" s="365"/>
    </row>
    <row r="292" spans="1:12" s="364" customFormat="1" ht="13.5" customHeight="1">
      <c r="A292" s="302"/>
      <c r="B292" s="363"/>
      <c r="C292" s="302"/>
      <c r="E292" s="365"/>
      <c r="F292" s="365"/>
      <c r="G292" s="365"/>
      <c r="H292" s="363"/>
      <c r="I292" s="365"/>
      <c r="K292" s="365"/>
      <c r="L292" s="365"/>
    </row>
    <row r="293" spans="1:12" s="364" customFormat="1" ht="13.5" customHeight="1">
      <c r="A293" s="302"/>
      <c r="B293" s="363"/>
      <c r="C293" s="302"/>
      <c r="E293" s="365"/>
      <c r="F293" s="365"/>
      <c r="G293" s="365"/>
      <c r="H293" s="363"/>
      <c r="I293" s="365"/>
      <c r="K293" s="365"/>
      <c r="L293" s="365"/>
    </row>
    <row r="294" spans="1:12" s="364" customFormat="1" ht="13.5" customHeight="1">
      <c r="A294" s="302"/>
      <c r="B294" s="363"/>
      <c r="C294" s="302"/>
      <c r="E294" s="365"/>
      <c r="F294" s="365"/>
      <c r="G294" s="365"/>
      <c r="H294" s="363"/>
      <c r="I294" s="365"/>
      <c r="K294" s="365"/>
      <c r="L294" s="365"/>
    </row>
    <row r="295" spans="1:12" s="364" customFormat="1" ht="13.5" customHeight="1">
      <c r="A295" s="302"/>
      <c r="B295" s="363"/>
      <c r="C295" s="302"/>
      <c r="E295" s="365"/>
      <c r="F295" s="365"/>
      <c r="G295" s="365"/>
      <c r="H295" s="363"/>
      <c r="I295" s="365"/>
      <c r="K295" s="365"/>
      <c r="L295" s="365"/>
    </row>
    <row r="296" spans="1:12" s="364" customFormat="1" ht="13.5" customHeight="1">
      <c r="A296" s="302"/>
      <c r="B296" s="363"/>
      <c r="C296" s="302"/>
      <c r="E296" s="365"/>
      <c r="F296" s="365"/>
      <c r="G296" s="365"/>
      <c r="H296" s="363"/>
      <c r="I296" s="365"/>
      <c r="K296" s="365"/>
      <c r="L296" s="365"/>
    </row>
    <row r="297" spans="1:12" s="364" customFormat="1" ht="13.5" customHeight="1">
      <c r="A297" s="302"/>
      <c r="B297" s="363"/>
      <c r="C297" s="302"/>
      <c r="E297" s="365"/>
      <c r="F297" s="365"/>
      <c r="G297" s="365"/>
      <c r="H297" s="363"/>
      <c r="I297" s="365"/>
      <c r="K297" s="365"/>
      <c r="L297" s="365"/>
    </row>
    <row r="298" spans="1:12" s="364" customFormat="1" ht="13.5" customHeight="1">
      <c r="A298" s="302"/>
      <c r="B298" s="363"/>
      <c r="C298" s="302"/>
      <c r="E298" s="365"/>
      <c r="F298" s="365"/>
      <c r="G298" s="365"/>
      <c r="H298" s="363"/>
      <c r="I298" s="365"/>
      <c r="K298" s="365"/>
      <c r="L298" s="365"/>
    </row>
    <row r="299" spans="1:12" s="364" customFormat="1" ht="13.5" customHeight="1">
      <c r="A299" s="302"/>
      <c r="B299" s="363"/>
      <c r="C299" s="302"/>
      <c r="E299" s="365"/>
      <c r="F299" s="365"/>
      <c r="G299" s="365"/>
      <c r="H299" s="363"/>
      <c r="I299" s="365"/>
      <c r="K299" s="365"/>
      <c r="L299" s="365"/>
    </row>
    <row r="300" spans="1:12" s="364" customFormat="1" ht="13.5" customHeight="1">
      <c r="A300" s="302"/>
      <c r="B300" s="363"/>
      <c r="C300" s="302"/>
      <c r="E300" s="365"/>
      <c r="F300" s="365"/>
      <c r="G300" s="365"/>
      <c r="H300" s="363"/>
      <c r="I300" s="365"/>
      <c r="K300" s="365"/>
      <c r="L300" s="365"/>
    </row>
    <row r="301" spans="1:12" s="364" customFormat="1" ht="13.5" customHeight="1">
      <c r="A301" s="302"/>
      <c r="B301" s="363"/>
      <c r="C301" s="302"/>
      <c r="E301" s="365"/>
      <c r="F301" s="365"/>
      <c r="G301" s="365"/>
      <c r="H301" s="363"/>
      <c r="I301" s="365"/>
      <c r="K301" s="365"/>
      <c r="L301" s="365"/>
    </row>
    <row r="302" spans="1:12" s="364" customFormat="1" ht="13.5" customHeight="1">
      <c r="A302" s="302"/>
      <c r="B302" s="363"/>
      <c r="C302" s="302"/>
      <c r="E302" s="365"/>
      <c r="F302" s="365"/>
      <c r="G302" s="365"/>
      <c r="H302" s="363"/>
      <c r="I302" s="365"/>
      <c r="K302" s="365"/>
      <c r="L302" s="365"/>
    </row>
    <row r="303" spans="1:12" s="364" customFormat="1" ht="13.5" customHeight="1">
      <c r="A303" s="302"/>
      <c r="B303" s="363"/>
      <c r="C303" s="302"/>
      <c r="E303" s="365"/>
      <c r="F303" s="365"/>
      <c r="G303" s="365"/>
      <c r="H303" s="363"/>
      <c r="I303" s="365"/>
      <c r="K303" s="365"/>
      <c r="L303" s="365"/>
    </row>
    <row r="304" spans="1:12" s="364" customFormat="1" ht="13.5" customHeight="1">
      <c r="A304" s="302"/>
      <c r="B304" s="363"/>
      <c r="C304" s="302"/>
      <c r="E304" s="365"/>
      <c r="F304" s="365"/>
      <c r="G304" s="365"/>
      <c r="H304" s="363"/>
      <c r="I304" s="365"/>
      <c r="K304" s="365"/>
      <c r="L304" s="365"/>
    </row>
    <row r="305" spans="1:12" s="364" customFormat="1" ht="13.5" customHeight="1">
      <c r="A305" s="302"/>
      <c r="B305" s="363"/>
      <c r="C305" s="302"/>
      <c r="E305" s="365"/>
      <c r="F305" s="365"/>
      <c r="G305" s="365"/>
      <c r="H305" s="363"/>
      <c r="I305" s="365"/>
      <c r="K305" s="365"/>
      <c r="L305" s="365"/>
    </row>
    <row r="306" spans="1:12" s="364" customFormat="1" ht="13.5" customHeight="1">
      <c r="A306" s="302"/>
      <c r="B306" s="363"/>
      <c r="C306" s="302"/>
      <c r="E306" s="365"/>
      <c r="F306" s="365"/>
      <c r="G306" s="365"/>
      <c r="H306" s="363"/>
      <c r="I306" s="365"/>
      <c r="K306" s="365"/>
      <c r="L306" s="365"/>
    </row>
    <row r="307" spans="1:12" s="364" customFormat="1" ht="13.5" customHeight="1">
      <c r="A307" s="302"/>
      <c r="B307" s="363"/>
      <c r="C307" s="302"/>
      <c r="E307" s="365"/>
      <c r="F307" s="365"/>
      <c r="G307" s="365"/>
      <c r="H307" s="363"/>
      <c r="I307" s="365"/>
      <c r="K307" s="365"/>
      <c r="L307" s="365"/>
    </row>
    <row r="308" spans="1:12" s="364" customFormat="1" ht="13.5" customHeight="1">
      <c r="A308" s="302"/>
      <c r="B308" s="363"/>
      <c r="C308" s="302"/>
      <c r="E308" s="365"/>
      <c r="F308" s="365"/>
      <c r="G308" s="365"/>
      <c r="H308" s="363"/>
      <c r="I308" s="365"/>
      <c r="K308" s="365"/>
      <c r="L308" s="365"/>
    </row>
    <row r="309" spans="1:12" s="364" customFormat="1" ht="13.5" customHeight="1">
      <c r="A309" s="302"/>
      <c r="B309" s="363"/>
      <c r="C309" s="302"/>
      <c r="E309" s="365"/>
      <c r="F309" s="365"/>
      <c r="G309" s="365"/>
      <c r="H309" s="363"/>
      <c r="I309" s="365"/>
      <c r="K309" s="365"/>
      <c r="L309" s="365"/>
    </row>
    <row r="310" spans="1:12" s="364" customFormat="1" ht="13.5" customHeight="1">
      <c r="A310" s="302"/>
      <c r="B310" s="363"/>
      <c r="C310" s="302"/>
      <c r="E310" s="365"/>
      <c r="F310" s="365"/>
      <c r="G310" s="365"/>
      <c r="H310" s="363"/>
      <c r="I310" s="365"/>
      <c r="K310" s="365"/>
      <c r="L310" s="365"/>
    </row>
    <row r="311" spans="1:12" s="364" customFormat="1" ht="13.5" customHeight="1">
      <c r="A311" s="302"/>
      <c r="B311" s="363"/>
      <c r="C311" s="302"/>
      <c r="E311" s="365"/>
      <c r="F311" s="365"/>
      <c r="G311" s="365"/>
      <c r="H311" s="363"/>
      <c r="I311" s="365"/>
      <c r="K311" s="365"/>
      <c r="L311" s="365"/>
    </row>
    <row r="312" spans="1:12" s="364" customFormat="1" ht="13.5" customHeight="1">
      <c r="A312" s="302"/>
      <c r="B312" s="363"/>
      <c r="C312" s="302"/>
      <c r="E312" s="365"/>
      <c r="F312" s="365"/>
      <c r="G312" s="365"/>
      <c r="H312" s="363"/>
      <c r="I312" s="365"/>
      <c r="K312" s="365"/>
      <c r="L312" s="365"/>
    </row>
    <row r="313" spans="1:12" s="364" customFormat="1" ht="13.5" customHeight="1">
      <c r="A313" s="302"/>
      <c r="B313" s="363"/>
      <c r="C313" s="302"/>
      <c r="E313" s="365"/>
      <c r="F313" s="365"/>
      <c r="G313" s="365"/>
      <c r="H313" s="363"/>
      <c r="I313" s="365"/>
      <c r="K313" s="365"/>
      <c r="L313" s="365"/>
    </row>
    <row r="314" spans="1:12" s="364" customFormat="1" ht="13.5" customHeight="1">
      <c r="A314" s="302"/>
      <c r="B314" s="363"/>
      <c r="C314" s="302"/>
      <c r="E314" s="365"/>
      <c r="F314" s="365"/>
      <c r="G314" s="365"/>
      <c r="H314" s="363"/>
      <c r="I314" s="365"/>
      <c r="K314" s="365"/>
      <c r="L314" s="365"/>
    </row>
    <row r="315" spans="1:12" s="364" customFormat="1" ht="13.5" customHeight="1">
      <c r="A315" s="302"/>
      <c r="B315" s="363"/>
      <c r="C315" s="302"/>
      <c r="E315" s="365"/>
      <c r="F315" s="365"/>
      <c r="G315" s="365"/>
      <c r="H315" s="363"/>
      <c r="I315" s="365"/>
      <c r="K315" s="365"/>
      <c r="L315" s="365"/>
    </row>
    <row r="316" spans="1:12" s="364" customFormat="1" ht="13.5" customHeight="1">
      <c r="A316" s="302"/>
      <c r="B316" s="363"/>
      <c r="C316" s="302"/>
      <c r="E316" s="365"/>
      <c r="F316" s="365"/>
      <c r="G316" s="365"/>
      <c r="H316" s="363"/>
      <c r="I316" s="365"/>
      <c r="K316" s="365"/>
      <c r="L316" s="365"/>
    </row>
    <row r="317" spans="1:12" s="364" customFormat="1" ht="13.5" customHeight="1">
      <c r="A317" s="302"/>
      <c r="B317" s="363"/>
      <c r="C317" s="302"/>
      <c r="E317" s="365"/>
      <c r="F317" s="365"/>
      <c r="G317" s="365"/>
      <c r="H317" s="363"/>
      <c r="I317" s="365"/>
      <c r="K317" s="365"/>
      <c r="L317" s="365"/>
    </row>
    <row r="318" spans="1:12" s="364" customFormat="1" ht="13.5" customHeight="1">
      <c r="A318" s="302"/>
      <c r="B318" s="363"/>
      <c r="C318" s="302"/>
      <c r="E318" s="365"/>
      <c r="F318" s="365"/>
      <c r="G318" s="365"/>
      <c r="H318" s="363"/>
      <c r="I318" s="365"/>
      <c r="K318" s="365"/>
      <c r="L318" s="365"/>
    </row>
    <row r="319" spans="1:12" s="364" customFormat="1" ht="13.5" customHeight="1">
      <c r="A319" s="302"/>
      <c r="B319" s="363"/>
      <c r="C319" s="302"/>
      <c r="E319" s="365"/>
      <c r="F319" s="365"/>
      <c r="G319" s="365"/>
      <c r="H319" s="363"/>
      <c r="I319" s="365"/>
      <c r="K319" s="365"/>
      <c r="L319" s="365"/>
    </row>
    <row r="320" spans="1:12" s="364" customFormat="1" ht="13.5" customHeight="1">
      <c r="A320" s="302"/>
      <c r="B320" s="363"/>
      <c r="C320" s="302"/>
      <c r="E320" s="365"/>
      <c r="F320" s="365"/>
      <c r="G320" s="365"/>
      <c r="H320" s="363"/>
      <c r="I320" s="365"/>
      <c r="K320" s="365"/>
      <c r="L320" s="365"/>
    </row>
    <row r="321" spans="1:12" s="364" customFormat="1" ht="13.5" customHeight="1">
      <c r="A321" s="302"/>
      <c r="B321" s="363"/>
      <c r="C321" s="302"/>
      <c r="E321" s="365"/>
      <c r="F321" s="365"/>
      <c r="G321" s="365"/>
      <c r="H321" s="363"/>
      <c r="I321" s="365"/>
      <c r="K321" s="365"/>
      <c r="L321" s="365"/>
    </row>
    <row r="322" spans="1:12" s="364" customFormat="1" ht="13.5" customHeight="1">
      <c r="A322" s="302"/>
      <c r="B322" s="363"/>
      <c r="C322" s="302"/>
      <c r="E322" s="365"/>
      <c r="F322" s="365"/>
      <c r="G322" s="365"/>
      <c r="H322" s="363"/>
      <c r="I322" s="365"/>
      <c r="K322" s="365"/>
      <c r="L322" s="365"/>
    </row>
    <row r="323" spans="1:12" s="364" customFormat="1" ht="13.5" customHeight="1">
      <c r="A323" s="302"/>
      <c r="B323" s="363"/>
      <c r="C323" s="302"/>
      <c r="E323" s="365"/>
      <c r="F323" s="365"/>
      <c r="G323" s="365"/>
      <c r="H323" s="363"/>
      <c r="I323" s="365"/>
      <c r="K323" s="365"/>
      <c r="L323" s="365"/>
    </row>
    <row r="324" spans="1:12" s="364" customFormat="1" ht="13.5" customHeight="1">
      <c r="A324" s="302"/>
      <c r="B324" s="363"/>
      <c r="C324" s="302"/>
      <c r="E324" s="365"/>
      <c r="F324" s="365"/>
      <c r="G324" s="365"/>
      <c r="H324" s="363"/>
      <c r="I324" s="365"/>
      <c r="K324" s="365"/>
      <c r="L324" s="365"/>
    </row>
    <row r="325" spans="1:12" s="364" customFormat="1" ht="13.5" customHeight="1">
      <c r="A325" s="302"/>
      <c r="B325" s="363"/>
      <c r="C325" s="302"/>
      <c r="E325" s="365"/>
      <c r="F325" s="365"/>
      <c r="G325" s="365"/>
      <c r="H325" s="363"/>
      <c r="I325" s="365"/>
      <c r="K325" s="365"/>
      <c r="L325" s="365"/>
    </row>
    <row r="326" spans="1:12" s="364" customFormat="1" ht="13.5" customHeight="1">
      <c r="A326" s="302"/>
      <c r="B326" s="363"/>
      <c r="C326" s="302"/>
      <c r="E326" s="365"/>
      <c r="F326" s="365"/>
      <c r="G326" s="365"/>
      <c r="H326" s="363"/>
      <c r="I326" s="365"/>
      <c r="K326" s="365"/>
      <c r="L326" s="365"/>
    </row>
    <row r="327" spans="1:12" s="364" customFormat="1" ht="13.5" customHeight="1">
      <c r="A327" s="302"/>
      <c r="B327" s="363"/>
      <c r="C327" s="302"/>
      <c r="E327" s="365"/>
      <c r="F327" s="365"/>
      <c r="G327" s="365"/>
      <c r="H327" s="363"/>
      <c r="I327" s="365"/>
      <c r="K327" s="365"/>
      <c r="L327" s="365"/>
    </row>
    <row r="328" spans="1:12" s="364" customFormat="1" ht="13.5" customHeight="1">
      <c r="A328" s="302"/>
      <c r="B328" s="363"/>
      <c r="C328" s="302"/>
      <c r="E328" s="365"/>
      <c r="F328" s="365"/>
      <c r="G328" s="365"/>
      <c r="H328" s="363"/>
      <c r="I328" s="365"/>
      <c r="K328" s="365"/>
      <c r="L328" s="365"/>
    </row>
    <row r="329" spans="1:12" s="364" customFormat="1" ht="13.5" customHeight="1">
      <c r="A329" s="302"/>
      <c r="B329" s="363"/>
      <c r="C329" s="302"/>
      <c r="E329" s="365"/>
      <c r="F329" s="365"/>
      <c r="G329" s="365"/>
      <c r="H329" s="363"/>
      <c r="I329" s="365"/>
      <c r="K329" s="365"/>
      <c r="L329" s="365"/>
    </row>
    <row r="330" spans="1:12" s="364" customFormat="1" ht="13.5" customHeight="1">
      <c r="A330" s="302"/>
      <c r="B330" s="363"/>
      <c r="C330" s="302"/>
      <c r="E330" s="365"/>
      <c r="F330" s="365"/>
      <c r="G330" s="365"/>
      <c r="H330" s="363"/>
      <c r="I330" s="365"/>
      <c r="K330" s="365"/>
      <c r="L330" s="365"/>
    </row>
    <row r="331" spans="1:12" s="364" customFormat="1" ht="13.5" customHeight="1">
      <c r="A331" s="302"/>
      <c r="B331" s="363"/>
      <c r="C331" s="302"/>
      <c r="E331" s="365"/>
      <c r="F331" s="365"/>
      <c r="G331" s="365"/>
      <c r="H331" s="363"/>
      <c r="I331" s="365"/>
      <c r="K331" s="365"/>
      <c r="L331" s="365"/>
    </row>
    <row r="332" spans="1:12" s="364" customFormat="1" ht="13.5" customHeight="1">
      <c r="A332" s="302"/>
      <c r="B332" s="363"/>
      <c r="C332" s="302"/>
      <c r="E332" s="365"/>
      <c r="F332" s="365"/>
      <c r="G332" s="365"/>
      <c r="H332" s="363"/>
      <c r="I332" s="365"/>
      <c r="K332" s="365"/>
      <c r="L332" s="365"/>
    </row>
    <row r="333" spans="1:12" s="364" customFormat="1" ht="13.5" customHeight="1">
      <c r="A333" s="302"/>
      <c r="B333" s="363"/>
      <c r="C333" s="302"/>
      <c r="E333" s="365"/>
      <c r="F333" s="365"/>
      <c r="G333" s="365"/>
      <c r="H333" s="363"/>
      <c r="I333" s="365"/>
      <c r="K333" s="365"/>
      <c r="L333" s="365"/>
    </row>
    <row r="334" spans="1:12" s="364" customFormat="1" ht="13.5" customHeight="1">
      <c r="A334" s="302"/>
      <c r="B334" s="363"/>
      <c r="C334" s="302"/>
      <c r="E334" s="365"/>
      <c r="F334" s="365"/>
      <c r="G334" s="365"/>
      <c r="H334" s="363"/>
      <c r="I334" s="365"/>
      <c r="K334" s="365"/>
      <c r="L334" s="365"/>
    </row>
    <row r="335" spans="1:12" s="364" customFormat="1" ht="13.5" customHeight="1">
      <c r="A335" s="302"/>
      <c r="B335" s="363"/>
      <c r="C335" s="302"/>
      <c r="E335" s="365"/>
      <c r="F335" s="365"/>
      <c r="G335" s="365"/>
      <c r="H335" s="363"/>
      <c r="I335" s="365"/>
      <c r="K335" s="365"/>
      <c r="L335" s="365"/>
    </row>
    <row r="336" spans="1:12" s="364" customFormat="1" ht="13.5" customHeight="1">
      <c r="A336" s="302"/>
      <c r="B336" s="363"/>
      <c r="C336" s="302"/>
      <c r="E336" s="365"/>
      <c r="F336" s="365"/>
      <c r="G336" s="365"/>
      <c r="H336" s="363"/>
      <c r="I336" s="365"/>
      <c r="K336" s="365"/>
      <c r="L336" s="365"/>
    </row>
    <row r="337" spans="1:12" s="364" customFormat="1" ht="13.5" customHeight="1">
      <c r="A337" s="302"/>
      <c r="B337" s="363"/>
      <c r="C337" s="302"/>
      <c r="E337" s="365"/>
      <c r="F337" s="365"/>
      <c r="G337" s="365"/>
      <c r="H337" s="363"/>
      <c r="I337" s="365"/>
      <c r="K337" s="365"/>
      <c r="L337" s="365"/>
    </row>
    <row r="338" spans="1:12" s="364" customFormat="1" ht="13.5" customHeight="1">
      <c r="A338" s="302"/>
      <c r="B338" s="363"/>
      <c r="C338" s="302"/>
      <c r="E338" s="365"/>
      <c r="F338" s="365"/>
      <c r="G338" s="365"/>
      <c r="H338" s="363"/>
      <c r="I338" s="365"/>
      <c r="K338" s="365"/>
      <c r="L338" s="365"/>
    </row>
    <row r="339" spans="1:12" s="364" customFormat="1" ht="13.5" customHeight="1">
      <c r="A339" s="302"/>
      <c r="B339" s="363"/>
      <c r="C339" s="302"/>
      <c r="E339" s="365"/>
      <c r="F339" s="365"/>
      <c r="G339" s="365"/>
      <c r="H339" s="363"/>
      <c r="I339" s="365"/>
      <c r="K339" s="365"/>
      <c r="L339" s="365"/>
    </row>
    <row r="340" spans="1:12" s="364" customFormat="1" ht="13.5" customHeight="1">
      <c r="A340" s="302"/>
      <c r="B340" s="363"/>
      <c r="C340" s="302"/>
      <c r="E340" s="365"/>
      <c r="F340" s="365"/>
      <c r="G340" s="365"/>
      <c r="H340" s="363"/>
      <c r="I340" s="365"/>
      <c r="K340" s="365"/>
      <c r="L340" s="365"/>
    </row>
    <row r="341" spans="1:12" s="364" customFormat="1" ht="13.5" customHeight="1">
      <c r="A341" s="302"/>
      <c r="B341" s="363"/>
      <c r="C341" s="302"/>
      <c r="E341" s="365"/>
      <c r="F341" s="365"/>
      <c r="G341" s="365"/>
      <c r="H341" s="363"/>
      <c r="I341" s="365"/>
      <c r="K341" s="365"/>
      <c r="L341" s="365"/>
    </row>
    <row r="342" spans="1:12" s="364" customFormat="1" ht="13.5" customHeight="1">
      <c r="A342" s="302"/>
      <c r="B342" s="363"/>
      <c r="C342" s="302"/>
      <c r="E342" s="365"/>
      <c r="F342" s="365"/>
      <c r="G342" s="365"/>
      <c r="H342" s="363"/>
      <c r="I342" s="365"/>
      <c r="K342" s="365"/>
      <c r="L342" s="365"/>
    </row>
    <row r="343" spans="1:12" s="364" customFormat="1" ht="13.5" customHeight="1">
      <c r="A343" s="302"/>
      <c r="B343" s="363"/>
      <c r="C343" s="302"/>
      <c r="E343" s="365"/>
      <c r="F343" s="365"/>
      <c r="G343" s="365"/>
      <c r="H343" s="363"/>
      <c r="I343" s="365"/>
      <c r="K343" s="365"/>
      <c r="L343" s="365"/>
    </row>
    <row r="344" spans="1:12" s="364" customFormat="1" ht="13.5" customHeight="1">
      <c r="A344" s="302"/>
      <c r="B344" s="363"/>
      <c r="C344" s="302"/>
      <c r="E344" s="365"/>
      <c r="F344" s="365"/>
      <c r="G344" s="365"/>
      <c r="H344" s="363"/>
      <c r="I344" s="365"/>
      <c r="K344" s="365"/>
      <c r="L344" s="365"/>
    </row>
    <row r="345" spans="1:12" s="364" customFormat="1" ht="13.5" customHeight="1">
      <c r="A345" s="302"/>
      <c r="B345" s="363"/>
      <c r="C345" s="302"/>
      <c r="E345" s="365"/>
      <c r="F345" s="365"/>
      <c r="G345" s="365"/>
      <c r="H345" s="363"/>
      <c r="I345" s="365"/>
      <c r="K345" s="365"/>
      <c r="L345" s="365"/>
    </row>
    <row r="346" spans="1:12" s="364" customFormat="1" ht="13.5" customHeight="1">
      <c r="A346" s="302"/>
      <c r="B346" s="363"/>
      <c r="C346" s="302"/>
      <c r="E346" s="365"/>
      <c r="F346" s="365"/>
      <c r="G346" s="365"/>
      <c r="H346" s="363"/>
      <c r="I346" s="365"/>
      <c r="K346" s="365"/>
      <c r="L346" s="365"/>
    </row>
    <row r="347" spans="1:12" s="364" customFormat="1" ht="13.5" customHeight="1">
      <c r="A347" s="302"/>
      <c r="B347" s="363"/>
      <c r="C347" s="302"/>
      <c r="E347" s="365"/>
      <c r="F347" s="365"/>
      <c r="G347" s="365"/>
      <c r="H347" s="363"/>
      <c r="I347" s="365"/>
      <c r="K347" s="365"/>
      <c r="L347" s="365"/>
    </row>
    <row r="348" spans="1:12" s="364" customFormat="1" ht="13.5" customHeight="1">
      <c r="A348" s="302"/>
      <c r="B348" s="363"/>
      <c r="C348" s="302"/>
      <c r="E348" s="365"/>
      <c r="F348" s="365"/>
      <c r="G348" s="365"/>
      <c r="H348" s="363"/>
      <c r="I348" s="365"/>
      <c r="K348" s="365"/>
      <c r="L348" s="365"/>
    </row>
    <row r="349" spans="1:12" s="364" customFormat="1" ht="13.5" customHeight="1">
      <c r="A349" s="302"/>
      <c r="B349" s="363"/>
      <c r="C349" s="302"/>
      <c r="E349" s="365"/>
      <c r="F349" s="365"/>
      <c r="G349" s="365"/>
      <c r="H349" s="363"/>
      <c r="I349" s="365"/>
      <c r="K349" s="365"/>
      <c r="L349" s="365"/>
    </row>
    <row r="350" spans="1:12" s="364" customFormat="1" ht="13.5" customHeight="1">
      <c r="A350" s="302"/>
      <c r="B350" s="363"/>
      <c r="C350" s="302"/>
      <c r="E350" s="365"/>
      <c r="F350" s="365"/>
      <c r="G350" s="365"/>
      <c r="H350" s="363"/>
      <c r="I350" s="365"/>
      <c r="K350" s="365"/>
      <c r="L350" s="365"/>
    </row>
    <row r="351" spans="1:12" s="364" customFormat="1" ht="13.5" customHeight="1">
      <c r="A351" s="302"/>
      <c r="B351" s="363"/>
      <c r="C351" s="302"/>
      <c r="E351" s="365"/>
      <c r="F351" s="365"/>
      <c r="G351" s="365"/>
      <c r="H351" s="363"/>
      <c r="I351" s="365"/>
      <c r="K351" s="365"/>
      <c r="L351" s="365"/>
    </row>
    <row r="352" spans="1:12" s="364" customFormat="1" ht="13.5" customHeight="1">
      <c r="A352" s="302"/>
      <c r="B352" s="363"/>
      <c r="C352" s="302"/>
      <c r="E352" s="365"/>
      <c r="F352" s="365"/>
      <c r="G352" s="365"/>
      <c r="H352" s="363"/>
      <c r="I352" s="365"/>
      <c r="K352" s="365"/>
      <c r="L352" s="365"/>
    </row>
    <row r="353" spans="1:12" s="364" customFormat="1" ht="13.5" customHeight="1">
      <c r="A353" s="302"/>
      <c r="B353" s="363"/>
      <c r="C353" s="302"/>
      <c r="E353" s="365"/>
      <c r="F353" s="365"/>
      <c r="G353" s="365"/>
      <c r="H353" s="363"/>
      <c r="I353" s="365"/>
      <c r="K353" s="365"/>
      <c r="L353" s="365"/>
    </row>
    <row r="354" spans="1:12" s="364" customFormat="1" ht="13.5" customHeight="1">
      <c r="A354" s="302"/>
      <c r="B354" s="363"/>
      <c r="C354" s="302"/>
      <c r="E354" s="365"/>
      <c r="F354" s="365"/>
      <c r="G354" s="365"/>
      <c r="H354" s="363"/>
      <c r="I354" s="365"/>
      <c r="K354" s="365"/>
      <c r="L354" s="365"/>
    </row>
    <row r="355" spans="1:12" s="364" customFormat="1" ht="13.5" customHeight="1">
      <c r="A355" s="302"/>
      <c r="B355" s="363"/>
      <c r="C355" s="302"/>
      <c r="E355" s="365"/>
      <c r="F355" s="365"/>
      <c r="G355" s="365"/>
      <c r="H355" s="363"/>
      <c r="I355" s="365"/>
      <c r="K355" s="365"/>
      <c r="L355" s="365"/>
    </row>
    <row r="356" spans="1:12" s="364" customFormat="1" ht="13.5" customHeight="1">
      <c r="A356" s="302"/>
      <c r="B356" s="363"/>
      <c r="C356" s="302"/>
      <c r="E356" s="365"/>
      <c r="F356" s="365"/>
      <c r="G356" s="365"/>
      <c r="H356" s="363"/>
      <c r="I356" s="365"/>
      <c r="K356" s="365"/>
      <c r="L356" s="365"/>
    </row>
    <row r="357" spans="1:12" s="364" customFormat="1" ht="13.5" customHeight="1">
      <c r="A357" s="302"/>
      <c r="B357" s="363"/>
      <c r="C357" s="302"/>
      <c r="E357" s="365"/>
      <c r="F357" s="365"/>
      <c r="G357" s="365"/>
      <c r="H357" s="363"/>
      <c r="I357" s="365"/>
      <c r="K357" s="365"/>
      <c r="L357" s="365"/>
    </row>
    <row r="358" spans="1:12" s="364" customFormat="1" ht="13.5" customHeight="1">
      <c r="A358" s="302"/>
      <c r="B358" s="363"/>
      <c r="C358" s="302"/>
      <c r="E358" s="365"/>
      <c r="F358" s="365"/>
      <c r="G358" s="365"/>
      <c r="H358" s="363"/>
      <c r="I358" s="365"/>
      <c r="K358" s="365"/>
      <c r="L358" s="365"/>
    </row>
    <row r="359" spans="1:12" s="364" customFormat="1" ht="13.5" customHeight="1">
      <c r="A359" s="302"/>
      <c r="B359" s="363"/>
      <c r="C359" s="302"/>
      <c r="E359" s="365"/>
      <c r="F359" s="365"/>
      <c r="G359" s="365"/>
      <c r="H359" s="363"/>
      <c r="I359" s="365"/>
      <c r="K359" s="365"/>
      <c r="L359" s="365"/>
    </row>
    <row r="360" spans="1:12" s="364" customFormat="1" ht="13.5" customHeight="1">
      <c r="A360" s="302"/>
      <c r="B360" s="363"/>
      <c r="C360" s="302"/>
      <c r="E360" s="365"/>
      <c r="F360" s="365"/>
      <c r="G360" s="365"/>
      <c r="H360" s="363"/>
      <c r="I360" s="365"/>
      <c r="K360" s="365"/>
      <c r="L360" s="365"/>
    </row>
    <row r="361" spans="1:12" s="364" customFormat="1" ht="13.5" customHeight="1">
      <c r="A361" s="302"/>
      <c r="B361" s="363"/>
      <c r="C361" s="302"/>
      <c r="E361" s="365"/>
      <c r="F361" s="365"/>
      <c r="G361" s="365"/>
      <c r="H361" s="363"/>
      <c r="I361" s="365"/>
      <c r="K361" s="365"/>
      <c r="L361" s="365"/>
    </row>
    <row r="362" spans="1:12" s="364" customFormat="1" ht="13.5" customHeight="1">
      <c r="A362" s="302"/>
      <c r="B362" s="363"/>
      <c r="C362" s="302"/>
      <c r="E362" s="365"/>
      <c r="F362" s="365"/>
      <c r="G362" s="365"/>
      <c r="H362" s="363"/>
      <c r="I362" s="365"/>
      <c r="K362" s="365"/>
      <c r="L362" s="365"/>
    </row>
    <row r="363" spans="1:12" s="364" customFormat="1" ht="13.5" customHeight="1">
      <c r="A363" s="302"/>
      <c r="B363" s="363"/>
      <c r="C363" s="302"/>
      <c r="E363" s="365"/>
      <c r="F363" s="365"/>
      <c r="G363" s="365"/>
      <c r="H363" s="363"/>
      <c r="I363" s="365"/>
      <c r="K363" s="365"/>
      <c r="L363" s="365"/>
    </row>
    <row r="364" spans="1:12" s="364" customFormat="1" ht="13.5" customHeight="1">
      <c r="A364" s="302"/>
      <c r="B364" s="363"/>
      <c r="C364" s="302"/>
      <c r="E364" s="365"/>
      <c r="F364" s="365"/>
      <c r="G364" s="365"/>
      <c r="H364" s="363"/>
      <c r="I364" s="365"/>
      <c r="K364" s="365"/>
      <c r="L364" s="365"/>
    </row>
    <row r="365" spans="1:12" s="364" customFormat="1" ht="13.5" customHeight="1">
      <c r="A365" s="302"/>
      <c r="B365" s="363"/>
      <c r="C365" s="302"/>
      <c r="E365" s="365"/>
      <c r="F365" s="365"/>
      <c r="G365" s="365"/>
      <c r="H365" s="363"/>
      <c r="I365" s="365"/>
      <c r="K365" s="365"/>
      <c r="L365" s="365"/>
    </row>
    <row r="366" spans="1:12" s="364" customFormat="1" ht="13.5" customHeight="1">
      <c r="A366" s="302"/>
      <c r="B366" s="363"/>
      <c r="C366" s="302"/>
      <c r="E366" s="365"/>
      <c r="F366" s="365"/>
      <c r="G366" s="365"/>
      <c r="H366" s="363"/>
      <c r="I366" s="365"/>
      <c r="K366" s="365"/>
      <c r="L366" s="365"/>
    </row>
    <row r="367" spans="1:12" s="364" customFormat="1" ht="13.5" customHeight="1">
      <c r="A367" s="302"/>
      <c r="B367" s="363"/>
      <c r="C367" s="302"/>
      <c r="E367" s="365"/>
      <c r="F367" s="365"/>
      <c r="G367" s="365"/>
      <c r="H367" s="363"/>
      <c r="I367" s="365"/>
      <c r="K367" s="365"/>
      <c r="L367" s="365"/>
    </row>
    <row r="368" spans="1:12" s="364" customFormat="1" ht="13.5" customHeight="1">
      <c r="A368" s="302"/>
      <c r="B368" s="363"/>
      <c r="C368" s="302"/>
      <c r="E368" s="365"/>
      <c r="F368" s="365"/>
      <c r="G368" s="365"/>
      <c r="H368" s="363"/>
      <c r="I368" s="365"/>
      <c r="K368" s="365"/>
      <c r="L368" s="365"/>
    </row>
    <row r="369" spans="1:12" s="364" customFormat="1" ht="13.5" customHeight="1">
      <c r="A369" s="302"/>
      <c r="B369" s="363"/>
      <c r="C369" s="302"/>
      <c r="E369" s="365"/>
      <c r="F369" s="365"/>
      <c r="G369" s="365"/>
      <c r="H369" s="363"/>
      <c r="I369" s="365"/>
      <c r="K369" s="365"/>
      <c r="L369" s="365"/>
    </row>
    <row r="370" spans="1:12" s="364" customFormat="1" ht="13.5" customHeight="1">
      <c r="A370" s="302"/>
      <c r="B370" s="363"/>
      <c r="C370" s="302"/>
      <c r="E370" s="365"/>
      <c r="F370" s="365"/>
      <c r="G370" s="365"/>
      <c r="H370" s="363"/>
      <c r="I370" s="365"/>
      <c r="K370" s="365"/>
      <c r="L370" s="365"/>
    </row>
    <row r="371" spans="1:12" s="364" customFormat="1" ht="13.5" customHeight="1">
      <c r="A371" s="302"/>
      <c r="B371" s="363"/>
      <c r="C371" s="302"/>
      <c r="E371" s="365"/>
      <c r="F371" s="365"/>
      <c r="G371" s="365"/>
      <c r="H371" s="363"/>
      <c r="I371" s="365"/>
      <c r="K371" s="365"/>
      <c r="L371" s="365"/>
    </row>
    <row r="372" spans="1:12" s="364" customFormat="1" ht="13.5" customHeight="1">
      <c r="A372" s="302"/>
      <c r="B372" s="363"/>
      <c r="C372" s="302"/>
      <c r="E372" s="365"/>
      <c r="F372" s="365"/>
      <c r="G372" s="365"/>
      <c r="H372" s="363"/>
      <c r="I372" s="365"/>
      <c r="K372" s="365"/>
      <c r="L372" s="365"/>
    </row>
    <row r="373" spans="1:12" s="364" customFormat="1" ht="13.5" customHeight="1">
      <c r="A373" s="302"/>
      <c r="B373" s="363"/>
      <c r="C373" s="302"/>
      <c r="E373" s="365"/>
      <c r="F373" s="365"/>
      <c r="G373" s="365"/>
      <c r="H373" s="363"/>
      <c r="I373" s="365"/>
      <c r="K373" s="365"/>
      <c r="L373" s="365"/>
    </row>
    <row r="374" spans="1:12" s="364" customFormat="1" ht="13.5" customHeight="1">
      <c r="A374" s="302"/>
      <c r="B374" s="363"/>
      <c r="C374" s="302"/>
      <c r="E374" s="365"/>
      <c r="F374" s="365"/>
      <c r="G374" s="365"/>
      <c r="H374" s="363"/>
      <c r="I374" s="365"/>
      <c r="K374" s="365"/>
      <c r="L374" s="365"/>
    </row>
    <row r="375" spans="1:12" s="364" customFormat="1" ht="13.5" customHeight="1">
      <c r="A375" s="302"/>
      <c r="B375" s="363"/>
      <c r="C375" s="302"/>
      <c r="E375" s="365"/>
      <c r="F375" s="365"/>
      <c r="G375" s="365"/>
      <c r="H375" s="363"/>
      <c r="I375" s="365"/>
      <c r="K375" s="365"/>
      <c r="L375" s="365"/>
    </row>
    <row r="376" spans="1:12" s="364" customFormat="1" ht="13.5" customHeight="1">
      <c r="A376" s="302"/>
      <c r="B376" s="363"/>
      <c r="C376" s="302"/>
      <c r="E376" s="365"/>
      <c r="F376" s="365"/>
      <c r="G376" s="365"/>
      <c r="H376" s="363"/>
      <c r="I376" s="365"/>
      <c r="K376" s="365"/>
      <c r="L376" s="365"/>
    </row>
    <row r="377" spans="1:12" s="364" customFormat="1" ht="13.5" customHeight="1">
      <c r="A377" s="302"/>
      <c r="B377" s="363"/>
      <c r="C377" s="302"/>
      <c r="E377" s="365"/>
      <c r="F377" s="365"/>
      <c r="G377" s="365"/>
      <c r="H377" s="363"/>
      <c r="I377" s="365"/>
      <c r="K377" s="365"/>
      <c r="L377" s="365"/>
    </row>
    <row r="378" spans="1:12" s="364" customFormat="1" ht="13.5" customHeight="1">
      <c r="A378" s="302"/>
      <c r="B378" s="363"/>
      <c r="C378" s="302"/>
      <c r="E378" s="365"/>
      <c r="F378" s="365"/>
      <c r="G378" s="365"/>
      <c r="H378" s="363"/>
      <c r="I378" s="365"/>
      <c r="K378" s="365"/>
      <c r="L378" s="365"/>
    </row>
    <row r="379" spans="1:12" s="364" customFormat="1" ht="13.5" customHeight="1">
      <c r="A379" s="302"/>
      <c r="B379" s="363"/>
      <c r="C379" s="302"/>
      <c r="E379" s="365"/>
      <c r="F379" s="365"/>
      <c r="G379" s="365"/>
      <c r="H379" s="363"/>
      <c r="I379" s="365"/>
      <c r="K379" s="365"/>
      <c r="L379" s="365"/>
    </row>
    <row r="380" spans="1:12" s="364" customFormat="1" ht="13.5" customHeight="1">
      <c r="A380" s="302"/>
      <c r="B380" s="363"/>
      <c r="C380" s="302"/>
      <c r="E380" s="365"/>
      <c r="F380" s="365"/>
      <c r="G380" s="365"/>
      <c r="H380" s="363"/>
      <c r="I380" s="365"/>
      <c r="K380" s="365"/>
      <c r="L380" s="365"/>
    </row>
    <row r="381" spans="1:12" s="364" customFormat="1" ht="13.5" customHeight="1">
      <c r="A381" s="302"/>
      <c r="B381" s="363"/>
      <c r="C381" s="302"/>
      <c r="E381" s="365"/>
      <c r="F381" s="365"/>
      <c r="G381" s="365"/>
      <c r="H381" s="363"/>
      <c r="I381" s="365"/>
      <c r="K381" s="365"/>
      <c r="L381" s="365"/>
    </row>
    <row r="382" spans="1:12" s="364" customFormat="1" ht="13.5" customHeight="1">
      <c r="A382" s="302"/>
      <c r="B382" s="363"/>
      <c r="C382" s="302"/>
      <c r="E382" s="365"/>
      <c r="F382" s="365"/>
      <c r="G382" s="365"/>
      <c r="H382" s="363"/>
      <c r="I382" s="365"/>
      <c r="K382" s="365"/>
      <c r="L382" s="365"/>
    </row>
    <row r="383" spans="1:12" s="364" customFormat="1" ht="13.5" customHeight="1">
      <c r="A383" s="302"/>
      <c r="B383" s="363"/>
      <c r="C383" s="302"/>
      <c r="E383" s="365"/>
      <c r="F383" s="365"/>
      <c r="G383" s="365"/>
      <c r="H383" s="363"/>
      <c r="I383" s="365"/>
      <c r="K383" s="365"/>
      <c r="L383" s="365"/>
    </row>
    <row r="384" spans="1:12" s="364" customFormat="1" ht="13.5" customHeight="1">
      <c r="A384" s="302"/>
      <c r="B384" s="363"/>
      <c r="C384" s="302"/>
      <c r="E384" s="365"/>
      <c r="F384" s="365"/>
      <c r="G384" s="365"/>
      <c r="H384" s="363"/>
      <c r="I384" s="365"/>
      <c r="K384" s="365"/>
      <c r="L384" s="365"/>
    </row>
    <row r="385" spans="1:12" s="364" customFormat="1" ht="13.5" customHeight="1">
      <c r="A385" s="302"/>
      <c r="B385" s="363"/>
      <c r="C385" s="302"/>
      <c r="E385" s="365"/>
      <c r="F385" s="365"/>
      <c r="G385" s="365"/>
      <c r="H385" s="363"/>
      <c r="I385" s="365"/>
      <c r="K385" s="365"/>
      <c r="L385" s="365"/>
    </row>
    <row r="386" spans="1:12" s="364" customFormat="1" ht="13.5" customHeight="1">
      <c r="A386" s="302"/>
      <c r="B386" s="363"/>
      <c r="C386" s="302"/>
      <c r="E386" s="365"/>
      <c r="F386" s="365"/>
      <c r="G386" s="365"/>
      <c r="H386" s="363"/>
      <c r="I386" s="365"/>
      <c r="K386" s="365"/>
      <c r="L386" s="365"/>
    </row>
    <row r="387" spans="1:12" s="364" customFormat="1" ht="13.5" customHeight="1">
      <c r="A387" s="302"/>
      <c r="B387" s="363"/>
      <c r="C387" s="302"/>
      <c r="E387" s="365"/>
      <c r="F387" s="365"/>
      <c r="G387" s="365"/>
      <c r="H387" s="363"/>
      <c r="I387" s="365"/>
      <c r="K387" s="365"/>
      <c r="L387" s="365"/>
    </row>
    <row r="388" spans="1:12" s="364" customFormat="1" ht="13.5" customHeight="1">
      <c r="A388" s="302"/>
      <c r="B388" s="363"/>
      <c r="C388" s="302"/>
      <c r="E388" s="365"/>
      <c r="F388" s="365"/>
      <c r="G388" s="365"/>
      <c r="H388" s="363"/>
      <c r="I388" s="365"/>
      <c r="K388" s="365"/>
      <c r="L388" s="365"/>
    </row>
    <row r="389" spans="1:12" s="364" customFormat="1" ht="13.5" customHeight="1">
      <c r="A389" s="302"/>
      <c r="B389" s="363"/>
      <c r="C389" s="302"/>
      <c r="E389" s="365"/>
      <c r="F389" s="365"/>
      <c r="G389" s="365"/>
      <c r="H389" s="363"/>
      <c r="I389" s="365"/>
      <c r="K389" s="365"/>
      <c r="L389" s="365"/>
    </row>
    <row r="390" spans="1:12" s="364" customFormat="1" ht="13.5" customHeight="1">
      <c r="A390" s="302"/>
      <c r="B390" s="363"/>
      <c r="C390" s="302"/>
      <c r="E390" s="365"/>
      <c r="F390" s="365"/>
      <c r="G390" s="365"/>
      <c r="H390" s="363"/>
      <c r="I390" s="365"/>
      <c r="K390" s="365"/>
      <c r="L390" s="365"/>
    </row>
    <row r="391" spans="1:12" s="364" customFormat="1" ht="13.5" customHeight="1">
      <c r="A391" s="302"/>
      <c r="B391" s="363"/>
      <c r="C391" s="302"/>
      <c r="E391" s="365"/>
      <c r="F391" s="365"/>
      <c r="G391" s="365"/>
      <c r="H391" s="363"/>
      <c r="I391" s="365"/>
      <c r="K391" s="365"/>
      <c r="L391" s="365"/>
    </row>
    <row r="392" spans="1:12" s="364" customFormat="1" ht="13.5" customHeight="1">
      <c r="A392" s="302"/>
      <c r="B392" s="363"/>
      <c r="C392" s="302"/>
      <c r="E392" s="365"/>
      <c r="F392" s="365"/>
      <c r="G392" s="365"/>
      <c r="H392" s="363"/>
      <c r="I392" s="365"/>
      <c r="K392" s="365"/>
      <c r="L392" s="365"/>
    </row>
    <row r="393" spans="1:12" s="364" customFormat="1" ht="13.5" customHeight="1">
      <c r="A393" s="302"/>
      <c r="B393" s="363"/>
      <c r="C393" s="302"/>
      <c r="E393" s="365"/>
      <c r="F393" s="365"/>
      <c r="G393" s="365"/>
      <c r="H393" s="363"/>
      <c r="I393" s="365"/>
      <c r="K393" s="365"/>
      <c r="L393" s="365"/>
    </row>
    <row r="394" spans="1:12" s="364" customFormat="1" ht="13.5" customHeight="1">
      <c r="A394" s="302"/>
      <c r="B394" s="363"/>
      <c r="C394" s="302"/>
      <c r="E394" s="365"/>
      <c r="F394" s="365"/>
      <c r="G394" s="365"/>
      <c r="H394" s="363"/>
      <c r="I394" s="365"/>
      <c r="K394" s="365"/>
      <c r="L394" s="365"/>
    </row>
    <row r="395" spans="1:12" s="364" customFormat="1" ht="13.5" customHeight="1">
      <c r="A395" s="302"/>
      <c r="B395" s="363"/>
      <c r="C395" s="302"/>
      <c r="E395" s="365"/>
      <c r="F395" s="365"/>
      <c r="G395" s="365"/>
      <c r="H395" s="363"/>
      <c r="I395" s="365"/>
      <c r="K395" s="365"/>
      <c r="L395" s="365"/>
    </row>
    <row r="396" spans="1:12" s="364" customFormat="1" ht="13.5" customHeight="1">
      <c r="A396" s="302"/>
      <c r="B396" s="363"/>
      <c r="C396" s="302"/>
      <c r="E396" s="365"/>
      <c r="F396" s="365"/>
      <c r="G396" s="365"/>
      <c r="H396" s="363"/>
      <c r="I396" s="365"/>
      <c r="K396" s="365"/>
      <c r="L396" s="365"/>
    </row>
    <row r="397" spans="1:12" s="364" customFormat="1" ht="13.5" customHeight="1">
      <c r="A397" s="302"/>
      <c r="B397" s="363"/>
      <c r="C397" s="302"/>
      <c r="E397" s="365"/>
      <c r="F397" s="365"/>
      <c r="G397" s="365"/>
      <c r="H397" s="363"/>
      <c r="I397" s="365"/>
      <c r="K397" s="365"/>
      <c r="L397" s="365"/>
    </row>
    <row r="398" spans="1:12" s="364" customFormat="1" ht="13.5" customHeight="1">
      <c r="A398" s="302"/>
      <c r="B398" s="363"/>
      <c r="C398" s="302"/>
      <c r="E398" s="365"/>
      <c r="F398" s="365"/>
      <c r="G398" s="365"/>
      <c r="H398" s="363"/>
      <c r="I398" s="365"/>
      <c r="K398" s="365"/>
      <c r="L398" s="365"/>
    </row>
    <row r="399" spans="1:12" s="364" customFormat="1" ht="13.5" customHeight="1">
      <c r="A399" s="302"/>
      <c r="B399" s="363"/>
      <c r="C399" s="302"/>
      <c r="E399" s="365"/>
      <c r="F399" s="365"/>
      <c r="G399" s="365"/>
      <c r="H399" s="363"/>
      <c r="I399" s="365"/>
      <c r="K399" s="365"/>
      <c r="L399" s="365"/>
    </row>
    <row r="400" spans="1:12" s="364" customFormat="1" ht="13.5" customHeight="1">
      <c r="A400" s="302"/>
      <c r="B400" s="363"/>
      <c r="C400" s="302"/>
      <c r="E400" s="365"/>
      <c r="F400" s="365"/>
      <c r="G400" s="365"/>
      <c r="H400" s="363"/>
      <c r="I400" s="365"/>
      <c r="K400" s="365"/>
      <c r="L400" s="365"/>
    </row>
    <row r="401" spans="1:12" s="364" customFormat="1" ht="13.5" customHeight="1">
      <c r="A401" s="302"/>
      <c r="B401" s="363"/>
      <c r="C401" s="302"/>
      <c r="E401" s="365"/>
      <c r="F401" s="365"/>
      <c r="G401" s="365"/>
      <c r="H401" s="363"/>
      <c r="I401" s="365"/>
      <c r="K401" s="365"/>
      <c r="L401" s="365"/>
    </row>
    <row r="402" spans="1:12" s="364" customFormat="1" ht="13.5" customHeight="1">
      <c r="A402" s="302"/>
      <c r="B402" s="363"/>
      <c r="C402" s="302"/>
      <c r="E402" s="365"/>
      <c r="F402" s="365"/>
      <c r="G402" s="365"/>
      <c r="H402" s="363"/>
      <c r="I402" s="365"/>
      <c r="K402" s="365"/>
      <c r="L402" s="365"/>
    </row>
    <row r="403" spans="1:12" s="364" customFormat="1" ht="13.5" customHeight="1">
      <c r="A403" s="302"/>
      <c r="B403" s="363"/>
      <c r="C403" s="302"/>
      <c r="E403" s="365"/>
      <c r="F403" s="365"/>
      <c r="G403" s="365"/>
      <c r="H403" s="363"/>
      <c r="I403" s="365"/>
      <c r="K403" s="365"/>
      <c r="L403" s="365"/>
    </row>
    <row r="404" spans="1:12" s="364" customFormat="1" ht="13.5" customHeight="1">
      <c r="A404" s="302"/>
      <c r="B404" s="363"/>
      <c r="C404" s="302"/>
      <c r="E404" s="365"/>
      <c r="F404" s="365"/>
      <c r="G404" s="365"/>
      <c r="H404" s="363"/>
      <c r="I404" s="365"/>
      <c r="K404" s="365"/>
      <c r="L404" s="365"/>
    </row>
    <row r="405" spans="1:12" s="364" customFormat="1" ht="13.5" customHeight="1">
      <c r="A405" s="302"/>
      <c r="B405" s="363"/>
      <c r="C405" s="302"/>
      <c r="E405" s="365"/>
      <c r="F405" s="365"/>
      <c r="G405" s="365"/>
      <c r="H405" s="363"/>
      <c r="I405" s="365"/>
      <c r="K405" s="365"/>
      <c r="L405" s="365"/>
    </row>
    <row r="406" spans="1:12" s="364" customFormat="1" ht="13.5" customHeight="1">
      <c r="A406" s="302"/>
      <c r="B406" s="363"/>
      <c r="C406" s="302"/>
      <c r="E406" s="365"/>
      <c r="F406" s="365"/>
      <c r="G406" s="365"/>
      <c r="H406" s="363"/>
      <c r="I406" s="365"/>
      <c r="K406" s="365"/>
      <c r="L406" s="365"/>
    </row>
  </sheetData>
  <mergeCells count="16">
    <mergeCell ref="J3:J5"/>
    <mergeCell ref="K3:K5"/>
    <mergeCell ref="L3:L5"/>
    <mergeCell ref="I6:I7"/>
    <mergeCell ref="I23:I24"/>
    <mergeCell ref="C40:C41"/>
    <mergeCell ref="H1:I1"/>
    <mergeCell ref="A3:A5"/>
    <mergeCell ref="B3:B5"/>
    <mergeCell ref="C3:C5"/>
    <mergeCell ref="D3:D5"/>
    <mergeCell ref="E3:E5"/>
    <mergeCell ref="F3:F5"/>
    <mergeCell ref="G3:G5"/>
    <mergeCell ref="H3:H5"/>
    <mergeCell ref="I3:I5"/>
  </mergeCells>
  <phoneticPr fontId="3"/>
  <printOptions horizontalCentered="1" gridLinesSet="0"/>
  <pageMargins left="0.39370078740157483" right="0.39370078740157483" top="0.59055118110236227" bottom="0.51181102362204722" header="0.39370078740157483" footer="0.31496062992125984"/>
  <pageSetup paperSize="9" scale="93" fitToHeight="0" orientation="landscape" horizontalDpi="4294967292" verticalDpi="400" r:id="rId1"/>
  <headerFooter scaleWithDoc="0">
    <oddFooter>&amp;C&amp;"ＭＳ Ｐゴシック,標準"&amp;9( &amp;P / &amp;N )</oddFooter>
  </headerFooter>
  <rowBreaks count="4" manualBreakCount="4">
    <brk id="39" max="16383" man="1"/>
    <brk id="73" max="16383" man="1"/>
    <brk id="107" max="16383" man="1"/>
    <brk id="14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271</v>
      </c>
    </row>
    <row r="6" spans="1:5" ht="30" customHeight="1">
      <c r="A6" s="6"/>
    </row>
    <row r="7" spans="1:5" ht="30" customHeight="1">
      <c r="A7" s="6" t="s">
        <v>272</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271</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273</v>
      </c>
      <c r="AY1" s="376" t="s">
        <v>353</v>
      </c>
      <c r="AZ1" s="376"/>
      <c r="BA1" s="376"/>
      <c r="BB1" s="379"/>
      <c r="BC1" s="380"/>
      <c r="BD1" s="375" t="s">
        <v>271</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273</v>
      </c>
      <c r="DB1" s="376" t="str">
        <f>$AY1</f>
        <v>9時-18時</v>
      </c>
      <c r="DC1" s="378"/>
      <c r="DD1" s="376"/>
      <c r="DE1" s="379"/>
      <c r="DF1" s="380"/>
      <c r="DG1" s="375" t="s">
        <v>271</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273</v>
      </c>
      <c r="FE1" s="376" t="str">
        <f>$AY1</f>
        <v>9時-18時</v>
      </c>
      <c r="FF1" s="378"/>
      <c r="FG1" s="376"/>
      <c r="FH1" s="379"/>
      <c r="FI1" s="381"/>
      <c r="FJ1" s="375" t="s">
        <v>271</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432</v>
      </c>
      <c r="GZ1" s="376" t="s">
        <v>352</v>
      </c>
      <c r="HA1" s="376"/>
      <c r="HB1" s="379"/>
      <c r="HC1" s="1448" t="s">
        <v>433</v>
      </c>
      <c r="HD1" s="382"/>
      <c r="HE1" s="383"/>
      <c r="HF1" s="382"/>
      <c r="HG1" s="1446"/>
      <c r="HH1" s="384" t="s">
        <v>274</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359</v>
      </c>
      <c r="B3" s="395">
        <v>201</v>
      </c>
      <c r="C3" s="396" t="s">
        <v>361</v>
      </c>
      <c r="D3" s="397" t="s">
        <v>362</v>
      </c>
      <c r="E3" s="397"/>
      <c r="F3" s="397"/>
      <c r="G3" s="397"/>
      <c r="H3" s="397"/>
      <c r="I3" s="397"/>
      <c r="J3" s="398"/>
      <c r="K3" s="399" t="s">
        <v>363</v>
      </c>
      <c r="L3" s="400"/>
      <c r="M3" s="399" t="s">
        <v>364</v>
      </c>
      <c r="N3" s="400"/>
      <c r="O3" s="401" t="s">
        <v>650</v>
      </c>
      <c r="P3" s="402"/>
      <c r="Q3" s="402"/>
      <c r="R3" s="402"/>
      <c r="S3" s="402"/>
      <c r="T3" s="402"/>
      <c r="U3" s="402"/>
      <c r="V3" s="403"/>
      <c r="W3" s="404" t="s">
        <v>365</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366</v>
      </c>
      <c r="BE3" s="395">
        <v>201</v>
      </c>
      <c r="BF3" s="396" t="s">
        <v>360</v>
      </c>
      <c r="BG3" s="408" t="s">
        <v>347</v>
      </c>
      <c r="BH3" s="408"/>
      <c r="BI3" s="408"/>
      <c r="BJ3" s="408"/>
      <c r="BK3" s="408"/>
      <c r="BL3" s="408"/>
      <c r="BM3" s="409"/>
      <c r="BN3" s="399" t="s">
        <v>363</v>
      </c>
      <c r="BO3" s="400"/>
      <c r="BP3" s="399" t="s">
        <v>364</v>
      </c>
      <c r="BQ3" s="400"/>
      <c r="BR3" s="401" t="s">
        <v>650</v>
      </c>
      <c r="BS3" s="402"/>
      <c r="BT3" s="402"/>
      <c r="BU3" s="402"/>
      <c r="BV3" s="402"/>
      <c r="BW3" s="402"/>
      <c r="BX3" s="402"/>
      <c r="BY3" s="403"/>
      <c r="BZ3" s="404" t="s">
        <v>365</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366</v>
      </c>
      <c r="DH3" s="395">
        <v>201</v>
      </c>
      <c r="DI3" s="396" t="s">
        <v>360</v>
      </c>
      <c r="DJ3" s="408" t="s">
        <v>347</v>
      </c>
      <c r="DK3" s="408"/>
      <c r="DL3" s="408"/>
      <c r="DM3" s="408"/>
      <c r="DN3" s="408"/>
      <c r="DO3" s="408"/>
      <c r="DP3" s="409"/>
      <c r="DQ3" s="399" t="s">
        <v>363</v>
      </c>
      <c r="DR3" s="400"/>
      <c r="DS3" s="399" t="s">
        <v>364</v>
      </c>
      <c r="DT3" s="400"/>
      <c r="DU3" s="401" t="s">
        <v>650</v>
      </c>
      <c r="DV3" s="402"/>
      <c r="DW3" s="402"/>
      <c r="DX3" s="402"/>
      <c r="DY3" s="402"/>
      <c r="DZ3" s="402"/>
      <c r="EA3" s="402"/>
      <c r="EB3" s="403"/>
      <c r="EC3" s="404" t="s">
        <v>365</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366</v>
      </c>
      <c r="FK3" s="395">
        <v>201</v>
      </c>
      <c r="FL3" s="396" t="s">
        <v>360</v>
      </c>
      <c r="FM3" s="408" t="s">
        <v>347</v>
      </c>
      <c r="FN3" s="408"/>
      <c r="FO3" s="408"/>
      <c r="FP3" s="408"/>
      <c r="FQ3" s="408"/>
      <c r="FR3" s="408"/>
      <c r="FS3" s="409"/>
      <c r="FT3" s="399" t="s">
        <v>363</v>
      </c>
      <c r="FU3" s="400"/>
      <c r="FV3" s="399" t="s">
        <v>364</v>
      </c>
      <c r="FW3" s="400"/>
      <c r="FX3" s="401" t="s">
        <v>658</v>
      </c>
      <c r="FY3" s="402"/>
      <c r="FZ3" s="402"/>
      <c r="GA3" s="402"/>
      <c r="GB3" s="402"/>
      <c r="GC3" s="402"/>
      <c r="GD3" s="402"/>
      <c r="GE3" s="403"/>
      <c r="GF3" s="404" t="s">
        <v>365</v>
      </c>
      <c r="GG3" s="405"/>
      <c r="GH3" s="406"/>
      <c r="GI3" s="410"/>
      <c r="GJ3" s="411" t="s">
        <v>434</v>
      </c>
      <c r="GK3" s="412"/>
      <c r="GL3" s="412"/>
      <c r="GM3" s="412"/>
      <c r="GN3" s="412"/>
      <c r="GO3" s="412"/>
      <c r="GP3" s="412"/>
      <c r="GQ3" s="412"/>
      <c r="GR3" s="413"/>
      <c r="GS3" s="414"/>
      <c r="GT3" s="411" t="s">
        <v>435</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367</v>
      </c>
      <c r="P4" s="426"/>
      <c r="Q4" s="427" t="s">
        <v>368</v>
      </c>
      <c r="R4" s="426"/>
      <c r="S4" s="428" t="s">
        <v>369</v>
      </c>
      <c r="T4" s="429"/>
      <c r="U4" s="430" t="s">
        <v>370</v>
      </c>
      <c r="V4" s="431"/>
      <c r="W4" s="432" t="s">
        <v>371</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367</v>
      </c>
      <c r="BS4" s="426"/>
      <c r="BT4" s="427" t="s">
        <v>368</v>
      </c>
      <c r="BU4" s="426"/>
      <c r="BV4" s="428" t="s">
        <v>369</v>
      </c>
      <c r="BW4" s="429"/>
      <c r="BX4" s="430" t="s">
        <v>370</v>
      </c>
      <c r="BY4" s="431"/>
      <c r="BZ4" s="432" t="s">
        <v>371</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367</v>
      </c>
      <c r="DV4" s="426"/>
      <c r="DW4" s="427" t="s">
        <v>368</v>
      </c>
      <c r="DX4" s="426"/>
      <c r="DY4" s="428" t="s">
        <v>369</v>
      </c>
      <c r="DZ4" s="429"/>
      <c r="EA4" s="430" t="s">
        <v>370</v>
      </c>
      <c r="EB4" s="431"/>
      <c r="EC4" s="432" t="s">
        <v>371</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367</v>
      </c>
      <c r="FY4" s="426"/>
      <c r="FZ4" s="427" t="s">
        <v>275</v>
      </c>
      <c r="GA4" s="426"/>
      <c r="GB4" s="428" t="s">
        <v>369</v>
      </c>
      <c r="GC4" s="429"/>
      <c r="GD4" s="430" t="s">
        <v>370</v>
      </c>
      <c r="GE4" s="431"/>
      <c r="GF4" s="432" t="s">
        <v>348</v>
      </c>
      <c r="GG4" s="433"/>
      <c r="GH4" s="434"/>
      <c r="GI4" s="410"/>
      <c r="GJ4" s="437"/>
      <c r="GK4" s="437"/>
      <c r="GL4" s="437"/>
      <c r="GM4" s="437"/>
      <c r="GN4" s="437"/>
      <c r="GO4" s="437"/>
      <c r="GP4" s="437"/>
      <c r="GQ4" s="437"/>
      <c r="GR4" s="437"/>
      <c r="GS4" s="414"/>
      <c r="GT4" s="437"/>
      <c r="GU4" s="437"/>
      <c r="GV4" s="437"/>
      <c r="GW4" s="437"/>
      <c r="GX4" s="437"/>
      <c r="GY4" s="437"/>
      <c r="GZ4" s="437"/>
      <c r="HA4" s="437"/>
      <c r="HB4" s="437"/>
      <c r="HC4" s="1449"/>
      <c r="HD4" s="438"/>
      <c r="HE4" s="438"/>
      <c r="HF4" s="501"/>
      <c r="HG4" s="387"/>
      <c r="MO4" s="393" t="s">
        <v>348</v>
      </c>
    </row>
    <row r="5" spans="1:353" ht="24.95" customHeight="1" thickBot="1">
      <c r="A5" s="439" t="s">
        <v>373</v>
      </c>
      <c r="B5" s="440">
        <v>2</v>
      </c>
      <c r="C5" s="441" t="s">
        <v>374</v>
      </c>
      <c r="D5" s="442">
        <v>54.8</v>
      </c>
      <c r="E5" s="443" t="s">
        <v>375</v>
      </c>
      <c r="F5" s="444">
        <v>2.8</v>
      </c>
      <c r="G5" s="445" t="s">
        <v>376</v>
      </c>
      <c r="H5" s="446"/>
      <c r="I5" s="447">
        <v>153.5</v>
      </c>
      <c r="J5" s="448"/>
      <c r="K5" s="449">
        <v>180</v>
      </c>
      <c r="L5" s="450"/>
      <c r="M5" s="449">
        <v>50</v>
      </c>
      <c r="N5" s="450"/>
      <c r="O5" s="1442" t="s">
        <v>646</v>
      </c>
      <c r="P5" s="451"/>
      <c r="Q5" s="1443" t="s">
        <v>647</v>
      </c>
      <c r="R5" s="452"/>
      <c r="S5" s="1444" t="s">
        <v>648</v>
      </c>
      <c r="T5" s="453"/>
      <c r="U5" s="1445" t="s">
        <v>649</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373</v>
      </c>
      <c r="BE5" s="440">
        <v>2</v>
      </c>
      <c r="BF5" s="441" t="s">
        <v>276</v>
      </c>
      <c r="BG5" s="442">
        <v>54.8</v>
      </c>
      <c r="BH5" s="443" t="s">
        <v>375</v>
      </c>
      <c r="BI5" s="444">
        <v>2.8</v>
      </c>
      <c r="BJ5" s="445" t="s">
        <v>376</v>
      </c>
      <c r="BK5" s="446"/>
      <c r="BL5" s="447">
        <v>153.5</v>
      </c>
      <c r="BM5" s="448"/>
      <c r="BN5" s="449">
        <v>180</v>
      </c>
      <c r="BO5" s="450"/>
      <c r="BP5" s="449">
        <v>50</v>
      </c>
      <c r="BQ5" s="450"/>
      <c r="BR5" s="1442" t="s">
        <v>651</v>
      </c>
      <c r="BS5" s="451"/>
      <c r="BT5" s="1443" t="s">
        <v>652</v>
      </c>
      <c r="BU5" s="452"/>
      <c r="BV5" s="1444" t="s">
        <v>648</v>
      </c>
      <c r="BW5" s="453"/>
      <c r="BX5" s="1445" t="s">
        <v>649</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373</v>
      </c>
      <c r="DH5" s="440">
        <v>2</v>
      </c>
      <c r="DI5" s="441" t="s">
        <v>276</v>
      </c>
      <c r="DJ5" s="442">
        <v>54.8</v>
      </c>
      <c r="DK5" s="443" t="s">
        <v>375</v>
      </c>
      <c r="DL5" s="444">
        <v>2.8</v>
      </c>
      <c r="DM5" s="445" t="s">
        <v>376</v>
      </c>
      <c r="DN5" s="446"/>
      <c r="DO5" s="447">
        <v>153.5</v>
      </c>
      <c r="DP5" s="448"/>
      <c r="DQ5" s="449">
        <v>180</v>
      </c>
      <c r="DR5" s="450"/>
      <c r="DS5" s="449">
        <v>50</v>
      </c>
      <c r="DT5" s="450"/>
      <c r="DU5" s="1442" t="s">
        <v>651</v>
      </c>
      <c r="DV5" s="451"/>
      <c r="DW5" s="1443" t="s">
        <v>647</v>
      </c>
      <c r="DX5" s="452"/>
      <c r="DY5" s="1444" t="s">
        <v>653</v>
      </c>
      <c r="DZ5" s="453"/>
      <c r="EA5" s="1445" t="s">
        <v>649</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373</v>
      </c>
      <c r="FK5" s="440">
        <v>2</v>
      </c>
      <c r="FL5" s="441" t="s">
        <v>276</v>
      </c>
      <c r="FM5" s="442">
        <v>54.8</v>
      </c>
      <c r="FN5" s="443" t="s">
        <v>375</v>
      </c>
      <c r="FO5" s="444">
        <v>2.8</v>
      </c>
      <c r="FP5" s="445" t="s">
        <v>376</v>
      </c>
      <c r="FQ5" s="446"/>
      <c r="FR5" s="447">
        <v>153.5</v>
      </c>
      <c r="FS5" s="448"/>
      <c r="FT5" s="449">
        <v>180</v>
      </c>
      <c r="FU5" s="450"/>
      <c r="FV5" s="449">
        <v>50</v>
      </c>
      <c r="FW5" s="450"/>
      <c r="FX5" s="1442" t="s">
        <v>654</v>
      </c>
      <c r="FY5" s="451"/>
      <c r="FZ5" s="1443" t="s">
        <v>655</v>
      </c>
      <c r="GA5" s="452"/>
      <c r="GB5" s="1444" t="s">
        <v>656</v>
      </c>
      <c r="GC5" s="453"/>
      <c r="GD5" s="1445" t="s">
        <v>657</v>
      </c>
      <c r="GE5" s="454"/>
      <c r="GF5" s="455"/>
      <c r="GG5" s="456"/>
      <c r="GH5" s="457"/>
      <c r="GI5" s="459"/>
      <c r="GJ5" s="410"/>
      <c r="GK5" s="460" t="s">
        <v>436</v>
      </c>
      <c r="GL5" s="460"/>
      <c r="GM5" s="460"/>
      <c r="GN5" s="410" t="s">
        <v>437</v>
      </c>
      <c r="GO5" s="461"/>
      <c r="GP5" s="461"/>
      <c r="GQ5" s="461"/>
      <c r="GR5" s="410"/>
      <c r="GS5" s="410"/>
      <c r="GT5" s="414"/>
      <c r="GU5" s="460" t="s">
        <v>438</v>
      </c>
      <c r="GV5" s="460"/>
      <c r="GW5" s="460"/>
      <c r="GX5" s="410" t="s">
        <v>437</v>
      </c>
      <c r="GY5" s="461"/>
      <c r="GZ5" s="461"/>
      <c r="HA5" s="461"/>
      <c r="HB5" s="410"/>
      <c r="HC5" s="462"/>
      <c r="HD5" s="438"/>
      <c r="HE5" s="438"/>
      <c r="HF5" s="501"/>
      <c r="HG5" s="387"/>
    </row>
    <row r="6" spans="1:353" ht="20.100000000000001" customHeight="1" thickBot="1">
      <c r="A6" s="463" t="s">
        <v>377</v>
      </c>
      <c r="B6" s="464"/>
      <c r="C6" s="465" t="s">
        <v>378</v>
      </c>
      <c r="D6" s="465"/>
      <c r="E6" s="465"/>
      <c r="F6" s="466">
        <v>0</v>
      </c>
      <c r="G6" s="466"/>
      <c r="H6" s="465" t="s">
        <v>379</v>
      </c>
      <c r="I6" s="465"/>
      <c r="J6" s="465"/>
      <c r="K6" s="465"/>
      <c r="L6" s="465"/>
      <c r="M6" s="467">
        <v>0</v>
      </c>
      <c r="N6" s="467"/>
      <c r="O6" s="468"/>
      <c r="P6" s="469"/>
      <c r="Q6" s="469" t="s">
        <v>380</v>
      </c>
      <c r="R6" s="470">
        <v>0</v>
      </c>
      <c r="S6" s="470"/>
      <c r="T6" s="471"/>
      <c r="U6" s="472" t="s">
        <v>381</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383</v>
      </c>
      <c r="BC6" s="476"/>
      <c r="BD6" s="463" t="s">
        <v>377</v>
      </c>
      <c r="BE6" s="464"/>
      <c r="BF6" s="465" t="s">
        <v>378</v>
      </c>
      <c r="BG6" s="465"/>
      <c r="BH6" s="465"/>
      <c r="BI6" s="466">
        <v>0</v>
      </c>
      <c r="BJ6" s="466"/>
      <c r="BK6" s="465" t="s">
        <v>379</v>
      </c>
      <c r="BL6" s="465"/>
      <c r="BM6" s="465"/>
      <c r="BN6" s="465"/>
      <c r="BO6" s="465"/>
      <c r="BP6" s="467">
        <v>0</v>
      </c>
      <c r="BQ6" s="467"/>
      <c r="BR6" s="468"/>
      <c r="BS6" s="469"/>
      <c r="BT6" s="469" t="s">
        <v>277</v>
      </c>
      <c r="BU6" s="470">
        <v>0</v>
      </c>
      <c r="BV6" s="470"/>
      <c r="BW6" s="471"/>
      <c r="BX6" s="472" t="s">
        <v>278</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385</v>
      </c>
      <c r="DF6" s="478"/>
      <c r="DG6" s="463" t="s">
        <v>377</v>
      </c>
      <c r="DH6" s="464"/>
      <c r="DI6" s="465" t="s">
        <v>378</v>
      </c>
      <c r="DJ6" s="465"/>
      <c r="DK6" s="465"/>
      <c r="DL6" s="466">
        <v>0</v>
      </c>
      <c r="DM6" s="466"/>
      <c r="DN6" s="465" t="s">
        <v>379</v>
      </c>
      <c r="DO6" s="465"/>
      <c r="DP6" s="465"/>
      <c r="DQ6" s="465"/>
      <c r="DR6" s="465"/>
      <c r="DS6" s="467">
        <v>0</v>
      </c>
      <c r="DT6" s="467"/>
      <c r="DU6" s="468"/>
      <c r="DV6" s="469"/>
      <c r="DW6" s="469" t="s">
        <v>277</v>
      </c>
      <c r="DX6" s="470">
        <v>0</v>
      </c>
      <c r="DY6" s="470"/>
      <c r="DZ6" s="471"/>
      <c r="EA6" s="472" t="s">
        <v>278</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387</v>
      </c>
      <c r="FI6" s="478"/>
      <c r="FJ6" s="463" t="s">
        <v>388</v>
      </c>
      <c r="FK6" s="464"/>
      <c r="FL6" s="465" t="s">
        <v>378</v>
      </c>
      <c r="FM6" s="465"/>
      <c r="FN6" s="465"/>
      <c r="FO6" s="466">
        <v>0</v>
      </c>
      <c r="FP6" s="466"/>
      <c r="FQ6" s="465" t="s">
        <v>379</v>
      </c>
      <c r="FR6" s="465"/>
      <c r="FS6" s="465"/>
      <c r="FT6" s="465"/>
      <c r="FU6" s="465"/>
      <c r="FV6" s="467">
        <v>0</v>
      </c>
      <c r="FW6" s="467"/>
      <c r="FX6" s="468"/>
      <c r="FY6" s="469"/>
      <c r="FZ6" s="469" t="s">
        <v>389</v>
      </c>
      <c r="GA6" s="470">
        <v>0</v>
      </c>
      <c r="GB6" s="470"/>
      <c r="GC6" s="471"/>
      <c r="GD6" s="472" t="s">
        <v>390</v>
      </c>
      <c r="GE6" s="473">
        <v>0</v>
      </c>
      <c r="GF6" s="473"/>
      <c r="GG6" s="474"/>
      <c r="GH6" s="469"/>
      <c r="GI6" s="469"/>
      <c r="GJ6" s="480"/>
      <c r="GK6" s="481" t="s">
        <v>439</v>
      </c>
      <c r="GL6" s="481"/>
      <c r="GM6" s="481"/>
      <c r="GN6" s="482">
        <v>2</v>
      </c>
      <c r="GO6" s="483"/>
      <c r="GP6" s="483"/>
      <c r="GQ6" s="483"/>
      <c r="GR6" s="480"/>
      <c r="GS6" s="480"/>
      <c r="GT6" s="414"/>
      <c r="GU6" s="481" t="s">
        <v>440</v>
      </c>
      <c r="GV6" s="481"/>
      <c r="GW6" s="481"/>
      <c r="GX6" s="482">
        <v>2</v>
      </c>
      <c r="GY6" s="414"/>
      <c r="GZ6" s="414"/>
      <c r="HA6" s="483"/>
      <c r="HB6" s="483"/>
      <c r="HC6" s="484"/>
      <c r="HD6" s="438"/>
      <c r="HE6" s="438"/>
      <c r="HF6" s="501"/>
      <c r="HG6" s="387"/>
    </row>
    <row r="7" spans="1:353" ht="20.100000000000001" customHeight="1">
      <c r="A7" s="485" t="s">
        <v>279</v>
      </c>
      <c r="B7" s="486"/>
      <c r="C7" s="486"/>
      <c r="D7" s="486"/>
      <c r="E7" s="486"/>
      <c r="F7" s="487"/>
      <c r="G7" s="488" t="s">
        <v>280</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279</v>
      </c>
      <c r="BE7" s="486"/>
      <c r="BF7" s="486"/>
      <c r="BG7" s="486"/>
      <c r="BH7" s="486"/>
      <c r="BI7" s="487"/>
      <c r="BJ7" s="488" t="s">
        <v>281</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279</v>
      </c>
      <c r="DH7" s="486"/>
      <c r="DI7" s="486"/>
      <c r="DJ7" s="486"/>
      <c r="DK7" s="486"/>
      <c r="DL7" s="487"/>
      <c r="DM7" s="488" t="s">
        <v>282</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279</v>
      </c>
      <c r="FK7" s="486"/>
      <c r="FL7" s="486"/>
      <c r="FM7" s="486"/>
      <c r="FN7" s="486"/>
      <c r="FO7" s="487"/>
      <c r="FP7" s="491" t="s">
        <v>283</v>
      </c>
      <c r="FQ7" s="492"/>
      <c r="FR7" s="492"/>
      <c r="FS7" s="492"/>
      <c r="FT7" s="492"/>
      <c r="FU7" s="492"/>
      <c r="FV7" s="493" t="s">
        <v>284</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285</v>
      </c>
      <c r="FQ8" s="518"/>
      <c r="FR8" s="519"/>
      <c r="FS8" s="520" t="s">
        <v>286</v>
      </c>
      <c r="FT8" s="520"/>
      <c r="FU8" s="521"/>
      <c r="FV8" s="522"/>
      <c r="FW8" s="523"/>
      <c r="FX8" s="523"/>
      <c r="FY8" s="523"/>
      <c r="FZ8" s="523"/>
      <c r="GA8" s="523"/>
      <c r="GB8" s="523"/>
      <c r="GC8" s="523"/>
      <c r="GD8" s="523"/>
      <c r="GE8" s="524"/>
      <c r="GF8" s="496"/>
      <c r="GG8" s="480"/>
      <c r="GH8" s="480"/>
      <c r="GI8" s="480"/>
      <c r="GJ8" s="525" t="s">
        <v>417</v>
      </c>
      <c r="GK8" s="525"/>
      <c r="GL8" s="526"/>
      <c r="GM8" s="527"/>
      <c r="GN8" s="526"/>
      <c r="GO8" s="527"/>
      <c r="GP8" s="526"/>
      <c r="GQ8" s="526"/>
      <c r="GR8" s="526"/>
      <c r="GS8" s="526"/>
      <c r="GT8" s="525" t="s">
        <v>417</v>
      </c>
      <c r="GU8" s="525"/>
      <c r="GV8" s="414"/>
      <c r="GW8" s="480"/>
      <c r="GX8" s="483"/>
      <c r="GY8" s="480"/>
      <c r="GZ8" s="483"/>
      <c r="HA8" s="527"/>
      <c r="HB8" s="527"/>
      <c r="HC8" s="527"/>
      <c r="HD8" s="438"/>
      <c r="HE8" s="438"/>
      <c r="HF8" s="1447"/>
      <c r="HG8" s="1447"/>
    </row>
    <row r="9" spans="1:353" ht="22.5" customHeight="1">
      <c r="A9" s="529" t="s">
        <v>287</v>
      </c>
      <c r="B9" s="530" t="s">
        <v>288</v>
      </c>
      <c r="C9" s="531" t="s">
        <v>289</v>
      </c>
      <c r="D9" s="531" t="s">
        <v>290</v>
      </c>
      <c r="E9" s="532" t="s">
        <v>291</v>
      </c>
      <c r="F9" s="533" t="s">
        <v>292</v>
      </c>
      <c r="G9" s="534" t="s">
        <v>293</v>
      </c>
      <c r="H9" s="535" t="s">
        <v>294</v>
      </c>
      <c r="I9" s="536" t="s">
        <v>295</v>
      </c>
      <c r="J9" s="535" t="s">
        <v>294</v>
      </c>
      <c r="K9" s="536" t="s">
        <v>295</v>
      </c>
      <c r="L9" s="535" t="s">
        <v>294</v>
      </c>
      <c r="M9" s="536" t="s">
        <v>295</v>
      </c>
      <c r="N9" s="535" t="s">
        <v>294</v>
      </c>
      <c r="O9" s="536" t="s">
        <v>295</v>
      </c>
      <c r="P9" s="535" t="s">
        <v>296</v>
      </c>
      <c r="Q9" s="536" t="s">
        <v>295</v>
      </c>
      <c r="R9" s="535" t="s">
        <v>294</v>
      </c>
      <c r="S9" s="536" t="s">
        <v>295</v>
      </c>
      <c r="T9" s="535" t="s">
        <v>294</v>
      </c>
      <c r="U9" s="536" t="s">
        <v>295</v>
      </c>
      <c r="V9" s="535" t="s">
        <v>294</v>
      </c>
      <c r="W9" s="536" t="s">
        <v>295</v>
      </c>
      <c r="X9" s="535" t="s">
        <v>294</v>
      </c>
      <c r="Y9" s="536" t="s">
        <v>295</v>
      </c>
      <c r="Z9" s="535" t="s">
        <v>294</v>
      </c>
      <c r="AA9" s="536" t="s">
        <v>295</v>
      </c>
      <c r="AB9" s="535" t="s">
        <v>294</v>
      </c>
      <c r="AC9" s="536" t="s">
        <v>295</v>
      </c>
      <c r="AD9" s="535" t="s">
        <v>294</v>
      </c>
      <c r="AE9" s="536" t="s">
        <v>295</v>
      </c>
      <c r="AF9" s="535" t="s">
        <v>294</v>
      </c>
      <c r="AG9" s="536" t="s">
        <v>295</v>
      </c>
      <c r="AH9" s="535" t="s">
        <v>294</v>
      </c>
      <c r="AI9" s="536" t="s">
        <v>295</v>
      </c>
      <c r="AJ9" s="535" t="s">
        <v>294</v>
      </c>
      <c r="AK9" s="536" t="s">
        <v>295</v>
      </c>
      <c r="AL9" s="535" t="s">
        <v>294</v>
      </c>
      <c r="AM9" s="536" t="s">
        <v>295</v>
      </c>
      <c r="AN9" s="535" t="s">
        <v>294</v>
      </c>
      <c r="AO9" s="536" t="s">
        <v>295</v>
      </c>
      <c r="AP9" s="535" t="s">
        <v>294</v>
      </c>
      <c r="AQ9" s="536" t="s">
        <v>295</v>
      </c>
      <c r="AR9" s="535" t="s">
        <v>294</v>
      </c>
      <c r="AS9" s="536" t="s">
        <v>295</v>
      </c>
      <c r="AT9" s="535" t="s">
        <v>294</v>
      </c>
      <c r="AU9" s="536" t="s">
        <v>295</v>
      </c>
      <c r="AV9" s="535" t="s">
        <v>294</v>
      </c>
      <c r="AW9" s="536" t="s">
        <v>295</v>
      </c>
      <c r="AX9" s="535" t="s">
        <v>296</v>
      </c>
      <c r="AY9" s="536" t="s">
        <v>295</v>
      </c>
      <c r="AZ9" s="535" t="s">
        <v>294</v>
      </c>
      <c r="BA9" s="536" t="s">
        <v>295</v>
      </c>
      <c r="BB9" s="537" t="s">
        <v>297</v>
      </c>
      <c r="BC9" s="500"/>
      <c r="BD9" s="529" t="s">
        <v>287</v>
      </c>
      <c r="BE9" s="530" t="s">
        <v>288</v>
      </c>
      <c r="BF9" s="531" t="s">
        <v>289</v>
      </c>
      <c r="BG9" s="531" t="s">
        <v>298</v>
      </c>
      <c r="BH9" s="532" t="s">
        <v>291</v>
      </c>
      <c r="BI9" s="533" t="s">
        <v>292</v>
      </c>
      <c r="BJ9" s="534" t="s">
        <v>293</v>
      </c>
      <c r="BK9" s="535" t="s">
        <v>294</v>
      </c>
      <c r="BL9" s="536" t="s">
        <v>295</v>
      </c>
      <c r="BM9" s="535" t="s">
        <v>294</v>
      </c>
      <c r="BN9" s="536" t="s">
        <v>295</v>
      </c>
      <c r="BO9" s="535" t="s">
        <v>294</v>
      </c>
      <c r="BP9" s="536" t="s">
        <v>295</v>
      </c>
      <c r="BQ9" s="535" t="s">
        <v>294</v>
      </c>
      <c r="BR9" s="536" t="s">
        <v>295</v>
      </c>
      <c r="BS9" s="535" t="s">
        <v>294</v>
      </c>
      <c r="BT9" s="536" t="s">
        <v>295</v>
      </c>
      <c r="BU9" s="535" t="s">
        <v>294</v>
      </c>
      <c r="BV9" s="536" t="s">
        <v>295</v>
      </c>
      <c r="BW9" s="535" t="s">
        <v>294</v>
      </c>
      <c r="BX9" s="536" t="s">
        <v>295</v>
      </c>
      <c r="BY9" s="535" t="s">
        <v>294</v>
      </c>
      <c r="BZ9" s="536" t="s">
        <v>295</v>
      </c>
      <c r="CA9" s="535" t="s">
        <v>294</v>
      </c>
      <c r="CB9" s="536" t="s">
        <v>295</v>
      </c>
      <c r="CC9" s="535" t="s">
        <v>294</v>
      </c>
      <c r="CD9" s="536" t="s">
        <v>295</v>
      </c>
      <c r="CE9" s="535" t="s">
        <v>294</v>
      </c>
      <c r="CF9" s="536" t="s">
        <v>295</v>
      </c>
      <c r="CG9" s="535" t="s">
        <v>294</v>
      </c>
      <c r="CH9" s="536" t="s">
        <v>295</v>
      </c>
      <c r="CI9" s="535" t="s">
        <v>294</v>
      </c>
      <c r="CJ9" s="536" t="s">
        <v>295</v>
      </c>
      <c r="CK9" s="535" t="s">
        <v>294</v>
      </c>
      <c r="CL9" s="536" t="s">
        <v>295</v>
      </c>
      <c r="CM9" s="535" t="s">
        <v>294</v>
      </c>
      <c r="CN9" s="536" t="s">
        <v>295</v>
      </c>
      <c r="CO9" s="535" t="s">
        <v>294</v>
      </c>
      <c r="CP9" s="536" t="s">
        <v>295</v>
      </c>
      <c r="CQ9" s="535" t="s">
        <v>294</v>
      </c>
      <c r="CR9" s="536" t="s">
        <v>295</v>
      </c>
      <c r="CS9" s="535" t="s">
        <v>294</v>
      </c>
      <c r="CT9" s="536" t="s">
        <v>295</v>
      </c>
      <c r="CU9" s="535" t="s">
        <v>294</v>
      </c>
      <c r="CV9" s="536" t="s">
        <v>295</v>
      </c>
      <c r="CW9" s="535" t="s">
        <v>294</v>
      </c>
      <c r="CX9" s="536" t="s">
        <v>295</v>
      </c>
      <c r="CY9" s="535" t="s">
        <v>294</v>
      </c>
      <c r="CZ9" s="536" t="s">
        <v>295</v>
      </c>
      <c r="DA9" s="535" t="s">
        <v>294</v>
      </c>
      <c r="DB9" s="536" t="s">
        <v>295</v>
      </c>
      <c r="DC9" s="535" t="s">
        <v>294</v>
      </c>
      <c r="DD9" s="536" t="s">
        <v>295</v>
      </c>
      <c r="DE9" s="537" t="s">
        <v>297</v>
      </c>
      <c r="DF9" s="500"/>
      <c r="DG9" s="529" t="s">
        <v>287</v>
      </c>
      <c r="DH9" s="530" t="s">
        <v>288</v>
      </c>
      <c r="DI9" s="531" t="s">
        <v>289</v>
      </c>
      <c r="DJ9" s="531" t="s">
        <v>298</v>
      </c>
      <c r="DK9" s="532" t="s">
        <v>291</v>
      </c>
      <c r="DL9" s="533" t="s">
        <v>292</v>
      </c>
      <c r="DM9" s="534" t="s">
        <v>293</v>
      </c>
      <c r="DN9" s="535" t="s">
        <v>294</v>
      </c>
      <c r="DO9" s="536" t="s">
        <v>295</v>
      </c>
      <c r="DP9" s="535" t="s">
        <v>294</v>
      </c>
      <c r="DQ9" s="536" t="s">
        <v>295</v>
      </c>
      <c r="DR9" s="535" t="s">
        <v>294</v>
      </c>
      <c r="DS9" s="536" t="s">
        <v>295</v>
      </c>
      <c r="DT9" s="535" t="s">
        <v>294</v>
      </c>
      <c r="DU9" s="536" t="s">
        <v>295</v>
      </c>
      <c r="DV9" s="535" t="s">
        <v>294</v>
      </c>
      <c r="DW9" s="536" t="s">
        <v>295</v>
      </c>
      <c r="DX9" s="535" t="s">
        <v>294</v>
      </c>
      <c r="DY9" s="536" t="s">
        <v>295</v>
      </c>
      <c r="DZ9" s="535" t="s">
        <v>294</v>
      </c>
      <c r="EA9" s="536" t="s">
        <v>295</v>
      </c>
      <c r="EB9" s="535" t="s">
        <v>294</v>
      </c>
      <c r="EC9" s="536" t="s">
        <v>295</v>
      </c>
      <c r="ED9" s="535" t="s">
        <v>294</v>
      </c>
      <c r="EE9" s="536" t="s">
        <v>295</v>
      </c>
      <c r="EF9" s="535" t="s">
        <v>294</v>
      </c>
      <c r="EG9" s="536" t="s">
        <v>295</v>
      </c>
      <c r="EH9" s="535" t="s">
        <v>294</v>
      </c>
      <c r="EI9" s="536" t="s">
        <v>295</v>
      </c>
      <c r="EJ9" s="535" t="s">
        <v>294</v>
      </c>
      <c r="EK9" s="536" t="s">
        <v>295</v>
      </c>
      <c r="EL9" s="535" t="s">
        <v>294</v>
      </c>
      <c r="EM9" s="536" t="s">
        <v>295</v>
      </c>
      <c r="EN9" s="535" t="s">
        <v>294</v>
      </c>
      <c r="EO9" s="536" t="s">
        <v>295</v>
      </c>
      <c r="EP9" s="535" t="s">
        <v>294</v>
      </c>
      <c r="EQ9" s="536" t="s">
        <v>295</v>
      </c>
      <c r="ER9" s="535" t="s">
        <v>294</v>
      </c>
      <c r="ES9" s="536" t="s">
        <v>295</v>
      </c>
      <c r="ET9" s="535" t="s">
        <v>294</v>
      </c>
      <c r="EU9" s="536" t="s">
        <v>295</v>
      </c>
      <c r="EV9" s="535" t="s">
        <v>294</v>
      </c>
      <c r="EW9" s="536" t="s">
        <v>295</v>
      </c>
      <c r="EX9" s="535" t="s">
        <v>294</v>
      </c>
      <c r="EY9" s="536" t="s">
        <v>295</v>
      </c>
      <c r="EZ9" s="535" t="s">
        <v>294</v>
      </c>
      <c r="FA9" s="536" t="s">
        <v>295</v>
      </c>
      <c r="FB9" s="535" t="s">
        <v>294</v>
      </c>
      <c r="FC9" s="536" t="s">
        <v>295</v>
      </c>
      <c r="FD9" s="535" t="s">
        <v>294</v>
      </c>
      <c r="FE9" s="536" t="s">
        <v>295</v>
      </c>
      <c r="FF9" s="535" t="s">
        <v>294</v>
      </c>
      <c r="FG9" s="536" t="s">
        <v>295</v>
      </c>
      <c r="FH9" s="537" t="s">
        <v>297</v>
      </c>
      <c r="FI9" s="538"/>
      <c r="FJ9" s="539" t="s">
        <v>287</v>
      </c>
      <c r="FK9" s="530" t="s">
        <v>288</v>
      </c>
      <c r="FL9" s="531" t="s">
        <v>289</v>
      </c>
      <c r="FM9" s="531" t="s">
        <v>298</v>
      </c>
      <c r="FN9" s="532" t="s">
        <v>291</v>
      </c>
      <c r="FO9" s="533" t="s">
        <v>292</v>
      </c>
      <c r="FP9" s="540" t="s">
        <v>43</v>
      </c>
      <c r="FQ9" s="541" t="s">
        <v>295</v>
      </c>
      <c r="FR9" s="535" t="s">
        <v>297</v>
      </c>
      <c r="FS9" s="542" t="s">
        <v>43</v>
      </c>
      <c r="FT9" s="541" t="s">
        <v>295</v>
      </c>
      <c r="FU9" s="535" t="s">
        <v>297</v>
      </c>
      <c r="FV9" s="522"/>
      <c r="FW9" s="523"/>
      <c r="FX9" s="523"/>
      <c r="FY9" s="523"/>
      <c r="FZ9" s="523"/>
      <c r="GA9" s="523"/>
      <c r="GB9" s="523"/>
      <c r="GC9" s="523"/>
      <c r="GD9" s="543"/>
      <c r="GE9" s="544"/>
      <c r="GF9" s="496"/>
      <c r="GG9" s="545"/>
      <c r="GH9" s="545"/>
      <c r="GI9" s="545"/>
      <c r="GJ9" s="526"/>
      <c r="GK9" s="527" t="s">
        <v>441</v>
      </c>
      <c r="GL9" s="526"/>
      <c r="GM9" s="527"/>
      <c r="GN9" s="526"/>
      <c r="GO9" s="546">
        <v>0.92</v>
      </c>
      <c r="GP9" s="526"/>
      <c r="GQ9" s="526"/>
      <c r="GR9" s="526"/>
      <c r="GS9" s="526"/>
      <c r="GT9" s="547"/>
      <c r="GU9" s="480" t="s">
        <v>442</v>
      </c>
      <c r="GV9" s="414"/>
      <c r="GW9" s="480"/>
      <c r="GX9" s="548">
        <v>1</v>
      </c>
      <c r="GY9" s="480"/>
      <c r="GZ9" s="483"/>
      <c r="HA9" s="527"/>
      <c r="HB9" s="527"/>
      <c r="HC9" s="527"/>
      <c r="HD9" s="438"/>
      <c r="HE9" s="438"/>
      <c r="HF9" s="1451"/>
      <c r="HG9" s="1451"/>
    </row>
    <row r="10" spans="1:353" ht="20.100000000000001" customHeight="1">
      <c r="A10" s="549"/>
      <c r="B10" s="550" t="s">
        <v>226</v>
      </c>
      <c r="C10" s="551" t="s">
        <v>71</v>
      </c>
      <c r="D10" s="552">
        <f>ROUND(10.8*0.85,2)</f>
        <v>9.18</v>
      </c>
      <c r="E10" s="550" t="s">
        <v>350</v>
      </c>
      <c r="F10" s="551"/>
      <c r="G10" s="553">
        <v>0</v>
      </c>
      <c r="H10" s="554">
        <f>ROUND(ROUND(10.8*0.85,2)*0.49*0,0)</f>
        <v>0</v>
      </c>
      <c r="I10" s="555">
        <v>0</v>
      </c>
      <c r="J10" s="556">
        <f>ROUND(ROUND(10.8*0.85,2)*0.49*0,0)</f>
        <v>0</v>
      </c>
      <c r="K10" s="557">
        <v>0</v>
      </c>
      <c r="L10" s="556">
        <f>ROUND(ROUND(10.8*0.85,2)*0.49*0,0)</f>
        <v>0</v>
      </c>
      <c r="M10" s="557">
        <v>0</v>
      </c>
      <c r="N10" s="556">
        <f>ROUND(ROUND(10.8*0.85,2)*0.49*0,0)</f>
        <v>0</v>
      </c>
      <c r="O10" s="557">
        <v>0</v>
      </c>
      <c r="P10" s="556">
        <f>ROUND(ROUND(10.8*0.85,2)*0.49*0,0)</f>
        <v>0</v>
      </c>
      <c r="Q10" s="557">
        <v>0</v>
      </c>
      <c r="R10" s="556">
        <f>ROUND(ROUND(10.8*0.85,2)*0.49*0,0)</f>
        <v>0</v>
      </c>
      <c r="S10" s="557">
        <v>0</v>
      </c>
      <c r="T10" s="556">
        <f>ROUND(ROUND(10.8*0.85,2)*0.49*0,0)</f>
        <v>0</v>
      </c>
      <c r="U10" s="557">
        <v>0</v>
      </c>
      <c r="V10" s="556">
        <f>ROUND(ROUND(10.8*0.85,2)*0.49*0,0)</f>
        <v>0</v>
      </c>
      <c r="W10" s="557">
        <v>116</v>
      </c>
      <c r="X10" s="556">
        <f>ROUND(ROUND(10.8*0.85,2)*0.49*116,0)</f>
        <v>522</v>
      </c>
      <c r="Y10" s="557">
        <v>130</v>
      </c>
      <c r="Z10" s="556">
        <f>ROUND(ROUND(10.8*0.85,2)*0.49*130,0)</f>
        <v>585</v>
      </c>
      <c r="AA10" s="557">
        <v>163</v>
      </c>
      <c r="AB10" s="556">
        <f>ROUND(ROUND(10.8*0.85,2)*0.49*163,0)</f>
        <v>733</v>
      </c>
      <c r="AC10" s="557">
        <v>229</v>
      </c>
      <c r="AD10" s="556">
        <f>ROUND(ROUND(10.8*0.85,2)*0.49*229,0)</f>
        <v>1030</v>
      </c>
      <c r="AE10" s="557">
        <v>269</v>
      </c>
      <c r="AF10" s="556">
        <f>ROUND(ROUND(10.8*0.85,2)*0.49*269,0)</f>
        <v>1210</v>
      </c>
      <c r="AG10" s="557">
        <v>267</v>
      </c>
      <c r="AH10" s="556">
        <f>ROUND(ROUND(10.8*0.85,2)*0.49*267,0)</f>
        <v>1201</v>
      </c>
      <c r="AI10" s="557">
        <v>224</v>
      </c>
      <c r="AJ10" s="556">
        <f>ROUND(ROUND(10.8*0.85,2)*0.49*224,0)</f>
        <v>1008</v>
      </c>
      <c r="AK10" s="557">
        <v>156</v>
      </c>
      <c r="AL10" s="556">
        <f>ROUND(ROUND(10.8*0.85,2)*0.49*156,0)</f>
        <v>702</v>
      </c>
      <c r="AM10" s="557">
        <v>84</v>
      </c>
      <c r="AN10" s="556">
        <f>ROUND(ROUND(10.8*0.85,2)*0.49*84,0)</f>
        <v>378</v>
      </c>
      <c r="AO10" s="557">
        <v>16</v>
      </c>
      <c r="AP10" s="556">
        <f>ROUND(ROUND(10.8*0.85,2)*0.49*16,0)</f>
        <v>72</v>
      </c>
      <c r="AQ10" s="557">
        <v>0</v>
      </c>
      <c r="AR10" s="556">
        <f>ROUND(ROUND(10.8*0.85,2)*0.49*0,0)</f>
        <v>0</v>
      </c>
      <c r="AS10" s="557">
        <v>0</v>
      </c>
      <c r="AT10" s="556">
        <f>ROUND(ROUND(10.8*0.85,2)*0.49*0,0)</f>
        <v>0</v>
      </c>
      <c r="AU10" s="557">
        <v>0</v>
      </c>
      <c r="AV10" s="556">
        <f>ROUND(ROUND(10.8*0.85,2)*0.49*0,0)</f>
        <v>0</v>
      </c>
      <c r="AW10" s="557">
        <v>0</v>
      </c>
      <c r="AX10" s="556">
        <f>ROUND(ROUND(10.8*0.85,2)*0.49*0,0)</f>
        <v>0</v>
      </c>
      <c r="AY10" s="557">
        <v>0</v>
      </c>
      <c r="AZ10" s="556">
        <f>ROUND(ROUND(10.8*0.85,2)*0.49*0,0)</f>
        <v>0</v>
      </c>
      <c r="BA10" s="557">
        <v>0</v>
      </c>
      <c r="BB10" s="558">
        <f>ROUND(ROUND(10.8*0.85,2)*0.49*0,0)</f>
        <v>0</v>
      </c>
      <c r="BC10" s="559"/>
      <c r="BD10" s="549"/>
      <c r="BE10" s="550"/>
      <c r="BF10" s="551"/>
      <c r="BG10" s="552"/>
      <c r="BH10" s="550"/>
      <c r="BI10" s="551"/>
      <c r="BJ10" s="553">
        <v>0</v>
      </c>
      <c r="BK10" s="554">
        <f>ROUND(ROUND(10.8*0.85,2)*0.49*0,0)</f>
        <v>0</v>
      </c>
      <c r="BL10" s="555">
        <v>0</v>
      </c>
      <c r="BM10" s="556">
        <f>ROUND(ROUND(10.8*0.85,2)*0.49*0,0)</f>
        <v>0</v>
      </c>
      <c r="BN10" s="557">
        <v>0</v>
      </c>
      <c r="BO10" s="556">
        <f>ROUND(ROUND(10.8*0.85,2)*0.49*0,0)</f>
        <v>0</v>
      </c>
      <c r="BP10" s="557">
        <v>0</v>
      </c>
      <c r="BQ10" s="556">
        <f>ROUND(ROUND(10.8*0.85,2)*0.49*0,0)</f>
        <v>0</v>
      </c>
      <c r="BR10" s="557">
        <v>0</v>
      </c>
      <c r="BS10" s="556">
        <f>ROUND(ROUND(10.8*0.85,2)*0.49*0,0)</f>
        <v>0</v>
      </c>
      <c r="BT10" s="557">
        <v>0</v>
      </c>
      <c r="BU10" s="556">
        <f>ROUND(ROUND(10.8*0.85,2)*0.49*0,0)</f>
        <v>0</v>
      </c>
      <c r="BV10" s="557">
        <v>0</v>
      </c>
      <c r="BW10" s="556">
        <f>ROUND(ROUND(10.8*0.85,2)*0.49*0,0)</f>
        <v>0</v>
      </c>
      <c r="BX10" s="557">
        <v>0</v>
      </c>
      <c r="BY10" s="556">
        <f>ROUND(ROUND(10.8*0.85,2)*0.49*0,0)</f>
        <v>0</v>
      </c>
      <c r="BZ10" s="557">
        <v>103</v>
      </c>
      <c r="CA10" s="556">
        <f>ROUND(ROUND(10.8*0.85,2)*0.49*103,0)</f>
        <v>463</v>
      </c>
      <c r="CB10" s="557">
        <v>110</v>
      </c>
      <c r="CC10" s="556">
        <f>ROUND(ROUND(10.8*0.85,2)*0.49*110,0)</f>
        <v>495</v>
      </c>
      <c r="CD10" s="557">
        <v>155</v>
      </c>
      <c r="CE10" s="556">
        <f>ROUND(ROUND(10.8*0.85,2)*0.49*155,0)</f>
        <v>697</v>
      </c>
      <c r="CF10" s="557">
        <v>254</v>
      </c>
      <c r="CG10" s="556">
        <f>ROUND(ROUND(10.8*0.85,2)*0.49*254,0)</f>
        <v>1143</v>
      </c>
      <c r="CH10" s="557">
        <v>320</v>
      </c>
      <c r="CI10" s="556">
        <f>ROUND(ROUND(10.8*0.85,2)*0.49*320,0)</f>
        <v>1439</v>
      </c>
      <c r="CJ10" s="557">
        <v>334</v>
      </c>
      <c r="CK10" s="556">
        <f>ROUND(ROUND(10.8*0.85,2)*0.49*334,0)</f>
        <v>1502</v>
      </c>
      <c r="CL10" s="557">
        <v>301</v>
      </c>
      <c r="CM10" s="556">
        <f>ROUND(ROUND(10.8*0.85,2)*0.49*301,0)</f>
        <v>1354</v>
      </c>
      <c r="CN10" s="557">
        <v>222</v>
      </c>
      <c r="CO10" s="556">
        <f>ROUND(ROUND(10.8*0.85,2)*0.49*222,0)</f>
        <v>999</v>
      </c>
      <c r="CP10" s="557">
        <v>130</v>
      </c>
      <c r="CQ10" s="556">
        <f>ROUND(ROUND(10.8*0.85,2)*0.49*130,0)</f>
        <v>585</v>
      </c>
      <c r="CR10" s="557">
        <v>32</v>
      </c>
      <c r="CS10" s="556">
        <f>ROUND(ROUND(10.8*0.85,2)*0.49*32,0)</f>
        <v>144</v>
      </c>
      <c r="CT10" s="557">
        <v>0</v>
      </c>
      <c r="CU10" s="556">
        <f>ROUND(ROUND(10.8*0.85,2)*0.49*0,0)</f>
        <v>0</v>
      </c>
      <c r="CV10" s="557">
        <v>0</v>
      </c>
      <c r="CW10" s="556">
        <f>ROUND(ROUND(10.8*0.85,2)*0.49*0,0)</f>
        <v>0</v>
      </c>
      <c r="CX10" s="557">
        <v>0</v>
      </c>
      <c r="CY10" s="556">
        <f>ROUND(ROUND(10.8*0.85,2)*0.49*0,0)</f>
        <v>0</v>
      </c>
      <c r="CZ10" s="557">
        <v>0</v>
      </c>
      <c r="DA10" s="556">
        <f>ROUND(ROUND(10.8*0.85,2)*0.49*0,0)</f>
        <v>0</v>
      </c>
      <c r="DB10" s="557">
        <v>0</v>
      </c>
      <c r="DC10" s="556">
        <f>ROUND(ROUND(10.8*0.85,2)*0.49*0,0)</f>
        <v>0</v>
      </c>
      <c r="DD10" s="557">
        <v>0</v>
      </c>
      <c r="DE10" s="558">
        <f>ROUND(ROUND(10.8*0.85,2)*0.49*0,0)</f>
        <v>0</v>
      </c>
      <c r="DF10" s="559"/>
      <c r="DG10" s="549"/>
      <c r="DH10" s="550"/>
      <c r="DI10" s="551"/>
      <c r="DJ10" s="552"/>
      <c r="DK10" s="550"/>
      <c r="DL10" s="551"/>
      <c r="DM10" s="553">
        <v>0</v>
      </c>
      <c r="DN10" s="554">
        <f>ROUND(ROUND(10.8*0.85,2)*0.49*0,0)</f>
        <v>0</v>
      </c>
      <c r="DO10" s="555">
        <v>0</v>
      </c>
      <c r="DP10" s="556">
        <f>ROUND(ROUND(10.8*0.85,2)*0.49*0,0)</f>
        <v>0</v>
      </c>
      <c r="DQ10" s="557">
        <v>0</v>
      </c>
      <c r="DR10" s="556">
        <f>ROUND(ROUND(10.8*0.85,2)*0.49*0,0)</f>
        <v>0</v>
      </c>
      <c r="DS10" s="557">
        <v>0</v>
      </c>
      <c r="DT10" s="556">
        <f>ROUND(ROUND(10.8*0.85,2)*0.49*0,0)</f>
        <v>0</v>
      </c>
      <c r="DU10" s="557">
        <v>0</v>
      </c>
      <c r="DV10" s="556">
        <f>ROUND(ROUND(10.8*0.85,2)*0.49*0,0)</f>
        <v>0</v>
      </c>
      <c r="DW10" s="557">
        <v>0</v>
      </c>
      <c r="DX10" s="556">
        <f>ROUND(ROUND(10.8*0.85,2)*0.49*0,0)</f>
        <v>0</v>
      </c>
      <c r="DY10" s="557">
        <v>0</v>
      </c>
      <c r="DZ10" s="556">
        <f>ROUND(ROUND(10.8*0.85,2)*0.49*0,0)</f>
        <v>0</v>
      </c>
      <c r="EA10" s="557">
        <v>0</v>
      </c>
      <c r="EB10" s="556">
        <f>ROUND(ROUND(10.8*0.85,2)*0.49*0,0)</f>
        <v>0</v>
      </c>
      <c r="EC10" s="557">
        <v>88</v>
      </c>
      <c r="ED10" s="556">
        <f>ROUND(ROUND(10.8*0.85,2)*0.49*88,0)</f>
        <v>396</v>
      </c>
      <c r="EE10" s="557">
        <v>170</v>
      </c>
      <c r="EF10" s="556">
        <f>ROUND(ROUND(10.8*0.85,2)*0.49*170,0)</f>
        <v>765</v>
      </c>
      <c r="EG10" s="557">
        <v>327</v>
      </c>
      <c r="EH10" s="556">
        <f>ROUND(ROUND(10.8*0.85,2)*0.49*327,0)</f>
        <v>1471</v>
      </c>
      <c r="EI10" s="557">
        <v>436</v>
      </c>
      <c r="EJ10" s="556">
        <f>ROUND(ROUND(10.8*0.85,2)*0.49*436,0)</f>
        <v>1961</v>
      </c>
      <c r="EK10" s="557">
        <v>480</v>
      </c>
      <c r="EL10" s="556">
        <f>ROUND(ROUND(10.8*0.85,2)*0.49*480,0)</f>
        <v>2159</v>
      </c>
      <c r="EM10" s="557">
        <v>473</v>
      </c>
      <c r="EN10" s="556">
        <f>ROUND(ROUND(10.8*0.85,2)*0.49*473,0)</f>
        <v>2128</v>
      </c>
      <c r="EO10" s="557">
        <v>403</v>
      </c>
      <c r="EP10" s="556">
        <f>ROUND(ROUND(10.8*0.85,2)*0.49*403,0)</f>
        <v>1813</v>
      </c>
      <c r="EQ10" s="557">
        <v>276</v>
      </c>
      <c r="ER10" s="556">
        <f>ROUND(ROUND(10.8*0.85,2)*0.49*276,0)</f>
        <v>1242</v>
      </c>
      <c r="ES10" s="557">
        <v>131</v>
      </c>
      <c r="ET10" s="556">
        <f>ROUND(ROUND(10.8*0.85,2)*0.49*131,0)</f>
        <v>589</v>
      </c>
      <c r="EU10" s="557">
        <v>0</v>
      </c>
      <c r="EV10" s="556">
        <f>ROUND(ROUND(10.8*0.85,2)*0.49*0,0)</f>
        <v>0</v>
      </c>
      <c r="EW10" s="557">
        <v>0</v>
      </c>
      <c r="EX10" s="556">
        <f>ROUND(ROUND(10.8*0.85,2)*0.49*0,0)</f>
        <v>0</v>
      </c>
      <c r="EY10" s="557">
        <v>0</v>
      </c>
      <c r="EZ10" s="556">
        <f>ROUND(ROUND(10.8*0.85,2)*0.49*0,0)</f>
        <v>0</v>
      </c>
      <c r="FA10" s="557">
        <v>0</v>
      </c>
      <c r="FB10" s="556">
        <f>ROUND(ROUND(10.8*0.85,2)*0.49*0,0)</f>
        <v>0</v>
      </c>
      <c r="FC10" s="557">
        <v>0</v>
      </c>
      <c r="FD10" s="556">
        <f>ROUND(ROUND(10.8*0.85,2)*0.49*0,0)</f>
        <v>0</v>
      </c>
      <c r="FE10" s="557">
        <v>0</v>
      </c>
      <c r="FF10" s="556">
        <f>ROUND(ROUND(10.8*0.85,2)*0.49*0,0)</f>
        <v>0</v>
      </c>
      <c r="FG10" s="557">
        <v>0</v>
      </c>
      <c r="FH10" s="558">
        <f>ROUND(ROUND(10.8*0.85,2)*0.49*0,0)</f>
        <v>0</v>
      </c>
      <c r="FI10" s="560"/>
      <c r="FJ10" s="561"/>
      <c r="FK10" s="550"/>
      <c r="FL10" s="551"/>
      <c r="FM10" s="552"/>
      <c r="FN10" s="550"/>
      <c r="FO10" s="551"/>
      <c r="FP10" s="562"/>
      <c r="FQ10" s="555"/>
      <c r="FR10" s="554" t="s">
        <v>299</v>
      </c>
      <c r="FS10" s="563"/>
      <c r="FT10" s="555"/>
      <c r="FU10" s="564" t="s">
        <v>300</v>
      </c>
      <c r="FV10" s="565" t="s">
        <v>301</v>
      </c>
      <c r="FW10" s="566"/>
      <c r="FX10" s="567" t="s">
        <v>302</v>
      </c>
      <c r="FY10" s="568"/>
      <c r="FZ10" s="569" t="s">
        <v>303</v>
      </c>
      <c r="GA10" s="570"/>
      <c r="GB10" s="571" t="s">
        <v>355</v>
      </c>
      <c r="GC10" s="572"/>
      <c r="GD10" s="573" t="s">
        <v>357</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1"/>
      <c r="HG10" s="1451"/>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299</v>
      </c>
      <c r="FS11" s="588"/>
      <c r="FT11" s="583"/>
      <c r="FU11" s="589" t="s">
        <v>299</v>
      </c>
      <c r="FV11" s="590"/>
      <c r="FW11" s="591"/>
      <c r="FX11" s="592"/>
      <c r="FY11" s="593"/>
      <c r="FZ11" s="594"/>
      <c r="GA11" s="595"/>
      <c r="GB11" s="596"/>
      <c r="GC11" s="597"/>
      <c r="GD11" s="596"/>
      <c r="GE11" s="598"/>
      <c r="GF11" s="496"/>
      <c r="GG11" s="599"/>
      <c r="GH11" s="599"/>
      <c r="GI11" s="599"/>
      <c r="GJ11" s="526"/>
      <c r="GK11" s="577" t="s">
        <v>443</v>
      </c>
      <c r="GL11" s="414"/>
      <c r="GM11" s="480"/>
      <c r="GN11" s="483"/>
      <c r="GO11" s="480"/>
      <c r="GP11" s="414"/>
      <c r="GQ11" s="526"/>
      <c r="GR11" s="526"/>
      <c r="GS11" s="526"/>
      <c r="GT11" s="545"/>
      <c r="GU11" s="577" t="s">
        <v>444</v>
      </c>
      <c r="GV11" s="414"/>
      <c r="GW11" s="480"/>
      <c r="GX11" s="483"/>
      <c r="GY11" s="480"/>
      <c r="GZ11" s="414"/>
      <c r="HA11" s="527"/>
      <c r="HB11" s="527"/>
      <c r="HC11" s="410"/>
      <c r="HD11" s="792"/>
      <c r="HE11" s="438"/>
      <c r="HF11" s="1451"/>
      <c r="HG11" s="1451"/>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304</v>
      </c>
      <c r="FS12" s="588"/>
      <c r="FT12" s="583"/>
      <c r="FU12" s="589" t="s">
        <v>299</v>
      </c>
      <c r="FV12" s="590"/>
      <c r="FW12" s="591"/>
      <c r="FX12" s="592"/>
      <c r="FY12" s="593"/>
      <c r="FZ12" s="594"/>
      <c r="GA12" s="595"/>
      <c r="GB12" s="596"/>
      <c r="GC12" s="597"/>
      <c r="GD12" s="596"/>
      <c r="GE12" s="598"/>
      <c r="GF12" s="496"/>
      <c r="GG12" s="599"/>
      <c r="GH12" s="599"/>
      <c r="GI12" s="599"/>
      <c r="GJ12" s="414"/>
      <c r="GK12" s="600" t="s">
        <v>366</v>
      </c>
      <c r="GL12" s="601"/>
      <c r="GM12" s="602" t="s">
        <v>445</v>
      </c>
      <c r="GN12" s="603" t="s">
        <v>446</v>
      </c>
      <c r="GO12" s="604" t="s">
        <v>447</v>
      </c>
      <c r="GP12" s="605" t="s">
        <v>448</v>
      </c>
      <c r="GQ12" s="604" t="s">
        <v>449</v>
      </c>
      <c r="GR12" s="604" t="s">
        <v>450</v>
      </c>
      <c r="GS12" s="606"/>
      <c r="GT12" s="545"/>
      <c r="GU12" s="600" t="s">
        <v>366</v>
      </c>
      <c r="GV12" s="601"/>
      <c r="GW12" s="602" t="s">
        <v>445</v>
      </c>
      <c r="GX12" s="607" t="s">
        <v>451</v>
      </c>
      <c r="GY12" s="608"/>
      <c r="GZ12" s="609" t="s">
        <v>447</v>
      </c>
      <c r="HA12" s="610" t="s">
        <v>452</v>
      </c>
      <c r="HB12" s="611"/>
      <c r="HC12" s="612"/>
      <c r="HD12" s="792"/>
      <c r="HE12" s="438"/>
      <c r="HF12" s="1451"/>
      <c r="HG12" s="1451"/>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299</v>
      </c>
      <c r="FS13" s="623"/>
      <c r="FT13" s="618"/>
      <c r="FU13" s="624" t="s">
        <v>299</v>
      </c>
      <c r="FV13" s="590"/>
      <c r="FW13" s="591"/>
      <c r="FX13" s="592"/>
      <c r="FY13" s="593"/>
      <c r="FZ13" s="594"/>
      <c r="GA13" s="595"/>
      <c r="GB13" s="596"/>
      <c r="GC13" s="597"/>
      <c r="GD13" s="596"/>
      <c r="GE13" s="598"/>
      <c r="GF13" s="496"/>
      <c r="GG13" s="599"/>
      <c r="GH13" s="599"/>
      <c r="GI13" s="599"/>
      <c r="GJ13" s="414"/>
      <c r="GK13" s="625">
        <v>201</v>
      </c>
      <c r="GL13" s="626"/>
      <c r="GM13" s="627" t="s">
        <v>453</v>
      </c>
      <c r="GN13" s="628">
        <v>10.8</v>
      </c>
      <c r="GO13" s="629">
        <v>0</v>
      </c>
      <c r="GP13" s="629">
        <v>1</v>
      </c>
      <c r="GQ13" s="630">
        <v>0</v>
      </c>
      <c r="GR13" s="631">
        <v>10.8</v>
      </c>
      <c r="GS13" s="575"/>
      <c r="GT13" s="414"/>
      <c r="GU13" s="625">
        <v>201</v>
      </c>
      <c r="GV13" s="626"/>
      <c r="GW13" s="632" t="s">
        <v>454</v>
      </c>
      <c r="GX13" s="633">
        <v>10.8</v>
      </c>
      <c r="GY13" s="634"/>
      <c r="GZ13" s="635">
        <v>0.65</v>
      </c>
      <c r="HA13" s="636">
        <v>7.02</v>
      </c>
      <c r="HB13" s="637"/>
      <c r="HC13" s="527"/>
      <c r="HD13" s="792"/>
      <c r="HE13" s="438"/>
      <c r="HF13" s="387"/>
      <c r="HG13" s="387"/>
    </row>
    <row r="14" spans="1:353" ht="20.100000000000001" customHeight="1">
      <c r="A14" s="638"/>
      <c r="B14" s="639"/>
      <c r="C14" s="639"/>
      <c r="D14" s="640" t="s">
        <v>305</v>
      </c>
      <c r="E14" s="639"/>
      <c r="F14" s="639"/>
      <c r="G14" s="641"/>
      <c r="H14" s="642">
        <f>SUM(H10:H13)</f>
        <v>0</v>
      </c>
      <c r="I14" s="643"/>
      <c r="J14" s="642">
        <f>SUM(J10:J13)</f>
        <v>0</v>
      </c>
      <c r="K14" s="643"/>
      <c r="L14" s="642">
        <f>SUM(L10:L13)</f>
        <v>0</v>
      </c>
      <c r="M14" s="643"/>
      <c r="N14" s="642">
        <f>SUM(N10:N13)</f>
        <v>0</v>
      </c>
      <c r="O14" s="643"/>
      <c r="P14" s="642">
        <f>SUM(P10:P13)</f>
        <v>0</v>
      </c>
      <c r="Q14" s="643"/>
      <c r="R14" s="642">
        <f>SUM(R10:R13)</f>
        <v>0</v>
      </c>
      <c r="S14" s="643"/>
      <c r="T14" s="642">
        <f>SUM(T10:T13)</f>
        <v>0</v>
      </c>
      <c r="U14" s="643"/>
      <c r="V14" s="642">
        <f>SUM(V10:V13)</f>
        <v>0</v>
      </c>
      <c r="W14" s="643"/>
      <c r="X14" s="642">
        <f>SUM(X10:X13)</f>
        <v>522</v>
      </c>
      <c r="Y14" s="643"/>
      <c r="Z14" s="642">
        <f>SUM(Z10:Z13)</f>
        <v>585</v>
      </c>
      <c r="AA14" s="643"/>
      <c r="AB14" s="642">
        <f>SUM(AB10:AB13)</f>
        <v>733</v>
      </c>
      <c r="AC14" s="643"/>
      <c r="AD14" s="642">
        <f>SUM(AD10:AD13)</f>
        <v>1030</v>
      </c>
      <c r="AE14" s="643"/>
      <c r="AF14" s="642">
        <f>SUM(AF10:AF13)</f>
        <v>1210</v>
      </c>
      <c r="AG14" s="643"/>
      <c r="AH14" s="642">
        <f>SUM(AH10:AH13)</f>
        <v>1201</v>
      </c>
      <c r="AI14" s="643"/>
      <c r="AJ14" s="642">
        <f>SUM(AJ10:AJ13)</f>
        <v>1008</v>
      </c>
      <c r="AK14" s="643"/>
      <c r="AL14" s="642">
        <f>SUM(AL10:AL13)</f>
        <v>702</v>
      </c>
      <c r="AM14" s="643"/>
      <c r="AN14" s="642">
        <f>SUM(AN10:AN13)</f>
        <v>378</v>
      </c>
      <c r="AO14" s="643"/>
      <c r="AP14" s="642">
        <f>SUM(AP10:AP13)</f>
        <v>72</v>
      </c>
      <c r="AQ14" s="643"/>
      <c r="AR14" s="642">
        <f>SUM(AR10:AR13)</f>
        <v>0</v>
      </c>
      <c r="AS14" s="643"/>
      <c r="AT14" s="642">
        <f>SUM(AT10:AT13)</f>
        <v>0</v>
      </c>
      <c r="AU14" s="643"/>
      <c r="AV14" s="642">
        <f>SUM(AV10:AV13)</f>
        <v>0</v>
      </c>
      <c r="AW14" s="643"/>
      <c r="AX14" s="642">
        <f>SUM(AX10:AX13)</f>
        <v>0</v>
      </c>
      <c r="AY14" s="643"/>
      <c r="AZ14" s="642">
        <f>SUM(AZ10:AZ13)</f>
        <v>0</v>
      </c>
      <c r="BA14" s="643"/>
      <c r="BB14" s="644">
        <f>SUM(BB10:BB13)</f>
        <v>0</v>
      </c>
      <c r="BC14" s="645"/>
      <c r="BD14" s="638"/>
      <c r="BE14" s="639"/>
      <c r="BF14" s="639"/>
      <c r="BG14" s="640" t="s">
        <v>305</v>
      </c>
      <c r="BH14" s="639"/>
      <c r="BI14" s="639"/>
      <c r="BJ14" s="641"/>
      <c r="BK14" s="642">
        <f>SUM(BK10:BK13)</f>
        <v>0</v>
      </c>
      <c r="BL14" s="643"/>
      <c r="BM14" s="642">
        <f>SUM(BM10:BM13)</f>
        <v>0</v>
      </c>
      <c r="BN14" s="643"/>
      <c r="BO14" s="642">
        <f>SUM(BO10:BO13)</f>
        <v>0</v>
      </c>
      <c r="BP14" s="643"/>
      <c r="BQ14" s="642">
        <f>SUM(BQ10:BQ13)</f>
        <v>0</v>
      </c>
      <c r="BR14" s="643"/>
      <c r="BS14" s="642">
        <f>SUM(BS10:BS13)</f>
        <v>0</v>
      </c>
      <c r="BT14" s="643"/>
      <c r="BU14" s="642">
        <f>SUM(BU10:BU13)</f>
        <v>0</v>
      </c>
      <c r="BV14" s="643"/>
      <c r="BW14" s="642">
        <f>SUM(BW10:BW13)</f>
        <v>0</v>
      </c>
      <c r="BX14" s="643"/>
      <c r="BY14" s="642">
        <f>SUM(BY10:BY13)</f>
        <v>0</v>
      </c>
      <c r="BZ14" s="643"/>
      <c r="CA14" s="642">
        <f>SUM(CA10:CA13)</f>
        <v>463</v>
      </c>
      <c r="CB14" s="643"/>
      <c r="CC14" s="642">
        <f>SUM(CC10:CC13)</f>
        <v>495</v>
      </c>
      <c r="CD14" s="643"/>
      <c r="CE14" s="642">
        <f>SUM(CE10:CE13)</f>
        <v>697</v>
      </c>
      <c r="CF14" s="643"/>
      <c r="CG14" s="642">
        <f>SUM(CG10:CG13)</f>
        <v>1143</v>
      </c>
      <c r="CH14" s="643"/>
      <c r="CI14" s="642">
        <f>SUM(CI10:CI13)</f>
        <v>1439</v>
      </c>
      <c r="CJ14" s="643"/>
      <c r="CK14" s="642">
        <f>SUM(CK10:CK13)</f>
        <v>1502</v>
      </c>
      <c r="CL14" s="643"/>
      <c r="CM14" s="642">
        <f>SUM(CM10:CM13)</f>
        <v>1354</v>
      </c>
      <c r="CN14" s="643"/>
      <c r="CO14" s="642">
        <f>SUM(CO10:CO13)</f>
        <v>999</v>
      </c>
      <c r="CP14" s="643"/>
      <c r="CQ14" s="642">
        <f>SUM(CQ10:CQ13)</f>
        <v>585</v>
      </c>
      <c r="CR14" s="643"/>
      <c r="CS14" s="642">
        <f>SUM(CS10:CS13)</f>
        <v>144</v>
      </c>
      <c r="CT14" s="643"/>
      <c r="CU14" s="642">
        <f>SUM(CU10:CU13)</f>
        <v>0</v>
      </c>
      <c r="CV14" s="643"/>
      <c r="CW14" s="642">
        <f>SUM(CW10:CW13)</f>
        <v>0</v>
      </c>
      <c r="CX14" s="643"/>
      <c r="CY14" s="642">
        <f>SUM(CY10:CY13)</f>
        <v>0</v>
      </c>
      <c r="CZ14" s="643"/>
      <c r="DA14" s="642">
        <f>SUM(DA10:DA13)</f>
        <v>0</v>
      </c>
      <c r="DB14" s="643"/>
      <c r="DC14" s="642">
        <f>SUM(DC10:DC13)</f>
        <v>0</v>
      </c>
      <c r="DD14" s="643"/>
      <c r="DE14" s="644">
        <f>SUM(DE10:DE13)</f>
        <v>0</v>
      </c>
      <c r="DF14" s="645"/>
      <c r="DG14" s="638"/>
      <c r="DH14" s="639"/>
      <c r="DI14" s="639"/>
      <c r="DJ14" s="640" t="s">
        <v>305</v>
      </c>
      <c r="DK14" s="639"/>
      <c r="DL14" s="639"/>
      <c r="DM14" s="641"/>
      <c r="DN14" s="642">
        <f>SUM(DN10:DN13)</f>
        <v>0</v>
      </c>
      <c r="DO14" s="643"/>
      <c r="DP14" s="642">
        <f>SUM(DP10:DP13)</f>
        <v>0</v>
      </c>
      <c r="DQ14" s="643"/>
      <c r="DR14" s="642">
        <f>SUM(DR10:DR13)</f>
        <v>0</v>
      </c>
      <c r="DS14" s="643"/>
      <c r="DT14" s="642">
        <f>SUM(DT10:DT13)</f>
        <v>0</v>
      </c>
      <c r="DU14" s="643"/>
      <c r="DV14" s="642">
        <f>SUM(DV10:DV13)</f>
        <v>0</v>
      </c>
      <c r="DW14" s="643"/>
      <c r="DX14" s="642">
        <f>SUM(DX10:DX13)</f>
        <v>0</v>
      </c>
      <c r="DY14" s="643"/>
      <c r="DZ14" s="642">
        <f>SUM(DZ10:DZ13)</f>
        <v>0</v>
      </c>
      <c r="EA14" s="643"/>
      <c r="EB14" s="642">
        <f>SUM(EB10:EB13)</f>
        <v>0</v>
      </c>
      <c r="EC14" s="643"/>
      <c r="ED14" s="642">
        <f>SUM(ED10:ED13)</f>
        <v>396</v>
      </c>
      <c r="EE14" s="643"/>
      <c r="EF14" s="642">
        <f>SUM(EF10:EF13)</f>
        <v>765</v>
      </c>
      <c r="EG14" s="643"/>
      <c r="EH14" s="642">
        <f>SUM(EH10:EH13)</f>
        <v>1471</v>
      </c>
      <c r="EI14" s="643"/>
      <c r="EJ14" s="642">
        <f>SUM(EJ10:EJ13)</f>
        <v>1961</v>
      </c>
      <c r="EK14" s="643"/>
      <c r="EL14" s="642">
        <f>SUM(EL10:EL13)</f>
        <v>2159</v>
      </c>
      <c r="EM14" s="643"/>
      <c r="EN14" s="642">
        <f>SUM(EN10:EN13)</f>
        <v>2128</v>
      </c>
      <c r="EO14" s="643"/>
      <c r="EP14" s="642">
        <f>SUM(EP10:EP13)</f>
        <v>1813</v>
      </c>
      <c r="EQ14" s="643"/>
      <c r="ER14" s="642">
        <f>SUM(ER10:ER13)</f>
        <v>1242</v>
      </c>
      <c r="ES14" s="643"/>
      <c r="ET14" s="642">
        <f>SUM(ET10:ET13)</f>
        <v>589</v>
      </c>
      <c r="EU14" s="643"/>
      <c r="EV14" s="642">
        <f>SUM(EV10:EV13)</f>
        <v>0</v>
      </c>
      <c r="EW14" s="643"/>
      <c r="EX14" s="642">
        <f>SUM(EX10:EX13)</f>
        <v>0</v>
      </c>
      <c r="EY14" s="643"/>
      <c r="EZ14" s="642">
        <f>SUM(EZ10:EZ13)</f>
        <v>0</v>
      </c>
      <c r="FA14" s="643"/>
      <c r="FB14" s="642">
        <f>SUM(FB10:FB13)</f>
        <v>0</v>
      </c>
      <c r="FC14" s="643"/>
      <c r="FD14" s="642">
        <f>SUM(FD10:FD13)</f>
        <v>0</v>
      </c>
      <c r="FE14" s="643"/>
      <c r="FF14" s="642">
        <f>SUM(FF10:FF13)</f>
        <v>0</v>
      </c>
      <c r="FG14" s="643"/>
      <c r="FH14" s="644">
        <f>SUM(FH10:FH13)</f>
        <v>0</v>
      </c>
      <c r="FI14" s="646"/>
      <c r="FJ14" s="561"/>
      <c r="FK14" s="639"/>
      <c r="FL14" s="639"/>
      <c r="FM14" s="640" t="s">
        <v>306</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0"/>
      <c r="HE14" s="416"/>
      <c r="HF14" s="416"/>
      <c r="HG14" s="416"/>
    </row>
    <row r="15" spans="1:353" ht="24" customHeight="1">
      <c r="A15" s="529" t="s">
        <v>307</v>
      </c>
      <c r="B15" s="655" t="s">
        <v>288</v>
      </c>
      <c r="C15" s="656" t="s">
        <v>289</v>
      </c>
      <c r="D15" s="657" t="s">
        <v>298</v>
      </c>
      <c r="E15" s="657" t="s">
        <v>308</v>
      </c>
      <c r="F15" s="658" t="s">
        <v>108</v>
      </c>
      <c r="G15" s="659" t="s">
        <v>309</v>
      </c>
      <c r="H15" s="660" t="s">
        <v>310</v>
      </c>
      <c r="I15" s="661" t="s">
        <v>311</v>
      </c>
      <c r="J15" s="660" t="s">
        <v>312</v>
      </c>
      <c r="K15" s="661" t="s">
        <v>311</v>
      </c>
      <c r="L15" s="660" t="s">
        <v>310</v>
      </c>
      <c r="M15" s="661" t="s">
        <v>311</v>
      </c>
      <c r="N15" s="660" t="s">
        <v>310</v>
      </c>
      <c r="O15" s="661" t="s">
        <v>311</v>
      </c>
      <c r="P15" s="660" t="s">
        <v>310</v>
      </c>
      <c r="Q15" s="661" t="s">
        <v>311</v>
      </c>
      <c r="R15" s="660" t="s">
        <v>310</v>
      </c>
      <c r="S15" s="661" t="s">
        <v>311</v>
      </c>
      <c r="T15" s="660" t="s">
        <v>312</v>
      </c>
      <c r="U15" s="661" t="s">
        <v>311</v>
      </c>
      <c r="V15" s="660" t="s">
        <v>312</v>
      </c>
      <c r="W15" s="661" t="s">
        <v>311</v>
      </c>
      <c r="X15" s="660" t="s">
        <v>312</v>
      </c>
      <c r="Y15" s="661" t="s">
        <v>311</v>
      </c>
      <c r="Z15" s="660" t="s">
        <v>312</v>
      </c>
      <c r="AA15" s="661" t="s">
        <v>311</v>
      </c>
      <c r="AB15" s="660" t="s">
        <v>310</v>
      </c>
      <c r="AC15" s="661" t="s">
        <v>311</v>
      </c>
      <c r="AD15" s="660" t="s">
        <v>312</v>
      </c>
      <c r="AE15" s="661" t="s">
        <v>311</v>
      </c>
      <c r="AF15" s="660" t="s">
        <v>310</v>
      </c>
      <c r="AG15" s="661" t="s">
        <v>311</v>
      </c>
      <c r="AH15" s="660" t="s">
        <v>310</v>
      </c>
      <c r="AI15" s="661" t="s">
        <v>311</v>
      </c>
      <c r="AJ15" s="660" t="s">
        <v>310</v>
      </c>
      <c r="AK15" s="661" t="s">
        <v>311</v>
      </c>
      <c r="AL15" s="660" t="s">
        <v>313</v>
      </c>
      <c r="AM15" s="661" t="s">
        <v>311</v>
      </c>
      <c r="AN15" s="660" t="s">
        <v>312</v>
      </c>
      <c r="AO15" s="661" t="s">
        <v>311</v>
      </c>
      <c r="AP15" s="660" t="s">
        <v>310</v>
      </c>
      <c r="AQ15" s="661" t="s">
        <v>311</v>
      </c>
      <c r="AR15" s="660" t="s">
        <v>312</v>
      </c>
      <c r="AS15" s="661" t="s">
        <v>311</v>
      </c>
      <c r="AT15" s="660" t="s">
        <v>312</v>
      </c>
      <c r="AU15" s="661" t="s">
        <v>311</v>
      </c>
      <c r="AV15" s="660" t="s">
        <v>310</v>
      </c>
      <c r="AW15" s="661" t="s">
        <v>311</v>
      </c>
      <c r="AX15" s="660" t="s">
        <v>310</v>
      </c>
      <c r="AY15" s="661" t="s">
        <v>311</v>
      </c>
      <c r="AZ15" s="660" t="s">
        <v>310</v>
      </c>
      <c r="BA15" s="661" t="s">
        <v>311</v>
      </c>
      <c r="BB15" s="662" t="s">
        <v>314</v>
      </c>
      <c r="BC15" s="663"/>
      <c r="BD15" s="529" t="s">
        <v>307</v>
      </c>
      <c r="BE15" s="655" t="s">
        <v>288</v>
      </c>
      <c r="BF15" s="656" t="s">
        <v>289</v>
      </c>
      <c r="BG15" s="657" t="s">
        <v>298</v>
      </c>
      <c r="BH15" s="657" t="s">
        <v>308</v>
      </c>
      <c r="BI15" s="658" t="s">
        <v>108</v>
      </c>
      <c r="BJ15" s="659" t="s">
        <v>309</v>
      </c>
      <c r="BK15" s="660" t="s">
        <v>310</v>
      </c>
      <c r="BL15" s="661" t="s">
        <v>311</v>
      </c>
      <c r="BM15" s="660" t="s">
        <v>312</v>
      </c>
      <c r="BN15" s="661" t="s">
        <v>311</v>
      </c>
      <c r="BO15" s="660" t="s">
        <v>312</v>
      </c>
      <c r="BP15" s="661" t="s">
        <v>311</v>
      </c>
      <c r="BQ15" s="660" t="s">
        <v>310</v>
      </c>
      <c r="BR15" s="661" t="s">
        <v>311</v>
      </c>
      <c r="BS15" s="660" t="s">
        <v>310</v>
      </c>
      <c r="BT15" s="661" t="s">
        <v>311</v>
      </c>
      <c r="BU15" s="660" t="s">
        <v>310</v>
      </c>
      <c r="BV15" s="661" t="s">
        <v>311</v>
      </c>
      <c r="BW15" s="660" t="s">
        <v>312</v>
      </c>
      <c r="BX15" s="661" t="s">
        <v>311</v>
      </c>
      <c r="BY15" s="660" t="s">
        <v>313</v>
      </c>
      <c r="BZ15" s="661" t="s">
        <v>311</v>
      </c>
      <c r="CA15" s="660" t="s">
        <v>310</v>
      </c>
      <c r="CB15" s="661" t="s">
        <v>311</v>
      </c>
      <c r="CC15" s="660" t="s">
        <v>310</v>
      </c>
      <c r="CD15" s="661" t="s">
        <v>311</v>
      </c>
      <c r="CE15" s="660" t="s">
        <v>310</v>
      </c>
      <c r="CF15" s="661" t="s">
        <v>311</v>
      </c>
      <c r="CG15" s="660" t="s">
        <v>310</v>
      </c>
      <c r="CH15" s="661" t="s">
        <v>311</v>
      </c>
      <c r="CI15" s="660" t="s">
        <v>310</v>
      </c>
      <c r="CJ15" s="661" t="s">
        <v>311</v>
      </c>
      <c r="CK15" s="660" t="s">
        <v>312</v>
      </c>
      <c r="CL15" s="661" t="s">
        <v>311</v>
      </c>
      <c r="CM15" s="660" t="s">
        <v>315</v>
      </c>
      <c r="CN15" s="661" t="s">
        <v>311</v>
      </c>
      <c r="CO15" s="660" t="s">
        <v>313</v>
      </c>
      <c r="CP15" s="661" t="s">
        <v>311</v>
      </c>
      <c r="CQ15" s="660" t="s">
        <v>312</v>
      </c>
      <c r="CR15" s="661" t="s">
        <v>311</v>
      </c>
      <c r="CS15" s="660" t="s">
        <v>312</v>
      </c>
      <c r="CT15" s="661" t="s">
        <v>311</v>
      </c>
      <c r="CU15" s="660" t="s">
        <v>310</v>
      </c>
      <c r="CV15" s="661" t="s">
        <v>311</v>
      </c>
      <c r="CW15" s="660" t="s">
        <v>312</v>
      </c>
      <c r="CX15" s="661" t="s">
        <v>311</v>
      </c>
      <c r="CY15" s="660" t="s">
        <v>315</v>
      </c>
      <c r="CZ15" s="661" t="s">
        <v>311</v>
      </c>
      <c r="DA15" s="660" t="s">
        <v>315</v>
      </c>
      <c r="DB15" s="661" t="s">
        <v>311</v>
      </c>
      <c r="DC15" s="660" t="s">
        <v>310</v>
      </c>
      <c r="DD15" s="661" t="s">
        <v>311</v>
      </c>
      <c r="DE15" s="662" t="s">
        <v>314</v>
      </c>
      <c r="DF15" s="663"/>
      <c r="DG15" s="529" t="s">
        <v>307</v>
      </c>
      <c r="DH15" s="655" t="s">
        <v>288</v>
      </c>
      <c r="DI15" s="656" t="s">
        <v>289</v>
      </c>
      <c r="DJ15" s="657" t="s">
        <v>316</v>
      </c>
      <c r="DK15" s="657" t="s">
        <v>308</v>
      </c>
      <c r="DL15" s="658" t="s">
        <v>108</v>
      </c>
      <c r="DM15" s="659" t="s">
        <v>309</v>
      </c>
      <c r="DN15" s="660" t="s">
        <v>310</v>
      </c>
      <c r="DO15" s="661" t="s">
        <v>311</v>
      </c>
      <c r="DP15" s="660" t="s">
        <v>312</v>
      </c>
      <c r="DQ15" s="661" t="s">
        <v>311</v>
      </c>
      <c r="DR15" s="660" t="s">
        <v>312</v>
      </c>
      <c r="DS15" s="661" t="s">
        <v>311</v>
      </c>
      <c r="DT15" s="660" t="s">
        <v>310</v>
      </c>
      <c r="DU15" s="661" t="s">
        <v>311</v>
      </c>
      <c r="DV15" s="660" t="s">
        <v>310</v>
      </c>
      <c r="DW15" s="661" t="s">
        <v>311</v>
      </c>
      <c r="DX15" s="660" t="s">
        <v>310</v>
      </c>
      <c r="DY15" s="661" t="s">
        <v>311</v>
      </c>
      <c r="DZ15" s="660" t="s">
        <v>310</v>
      </c>
      <c r="EA15" s="661" t="s">
        <v>311</v>
      </c>
      <c r="EB15" s="660" t="s">
        <v>312</v>
      </c>
      <c r="EC15" s="661" t="s">
        <v>311</v>
      </c>
      <c r="ED15" s="660" t="s">
        <v>312</v>
      </c>
      <c r="EE15" s="661" t="s">
        <v>311</v>
      </c>
      <c r="EF15" s="660" t="s">
        <v>312</v>
      </c>
      <c r="EG15" s="661" t="s">
        <v>311</v>
      </c>
      <c r="EH15" s="660" t="s">
        <v>312</v>
      </c>
      <c r="EI15" s="661" t="s">
        <v>311</v>
      </c>
      <c r="EJ15" s="660" t="s">
        <v>310</v>
      </c>
      <c r="EK15" s="661" t="s">
        <v>311</v>
      </c>
      <c r="EL15" s="660" t="s">
        <v>312</v>
      </c>
      <c r="EM15" s="661" t="s">
        <v>311</v>
      </c>
      <c r="EN15" s="660" t="s">
        <v>310</v>
      </c>
      <c r="EO15" s="661" t="s">
        <v>311</v>
      </c>
      <c r="EP15" s="660" t="s">
        <v>310</v>
      </c>
      <c r="EQ15" s="661" t="s">
        <v>311</v>
      </c>
      <c r="ER15" s="660" t="s">
        <v>310</v>
      </c>
      <c r="ES15" s="661" t="s">
        <v>311</v>
      </c>
      <c r="ET15" s="660" t="s">
        <v>313</v>
      </c>
      <c r="EU15" s="661" t="s">
        <v>311</v>
      </c>
      <c r="EV15" s="660" t="s">
        <v>312</v>
      </c>
      <c r="EW15" s="661" t="s">
        <v>311</v>
      </c>
      <c r="EX15" s="660" t="s">
        <v>310</v>
      </c>
      <c r="EY15" s="661" t="s">
        <v>311</v>
      </c>
      <c r="EZ15" s="660" t="s">
        <v>312</v>
      </c>
      <c r="FA15" s="661" t="s">
        <v>311</v>
      </c>
      <c r="FB15" s="660" t="s">
        <v>312</v>
      </c>
      <c r="FC15" s="661" t="s">
        <v>311</v>
      </c>
      <c r="FD15" s="660" t="s">
        <v>310</v>
      </c>
      <c r="FE15" s="661" t="s">
        <v>311</v>
      </c>
      <c r="FF15" s="660" t="s">
        <v>310</v>
      </c>
      <c r="FG15" s="661" t="s">
        <v>311</v>
      </c>
      <c r="FH15" s="662" t="s">
        <v>314</v>
      </c>
      <c r="FI15" s="664"/>
      <c r="FJ15" s="539" t="s">
        <v>307</v>
      </c>
      <c r="FK15" s="655" t="s">
        <v>288</v>
      </c>
      <c r="FL15" s="656" t="s">
        <v>289</v>
      </c>
      <c r="FM15" s="657" t="s">
        <v>298</v>
      </c>
      <c r="FN15" s="657" t="s">
        <v>308</v>
      </c>
      <c r="FO15" s="658" t="s">
        <v>108</v>
      </c>
      <c r="FP15" s="665" t="s">
        <v>43</v>
      </c>
      <c r="FQ15" s="666" t="s">
        <v>311</v>
      </c>
      <c r="FR15" s="660" t="s">
        <v>314</v>
      </c>
      <c r="FS15" s="667" t="s">
        <v>43</v>
      </c>
      <c r="FT15" s="666" t="s">
        <v>311</v>
      </c>
      <c r="FU15" s="668" t="s">
        <v>314</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216</v>
      </c>
      <c r="C16" s="672" t="s">
        <v>71</v>
      </c>
      <c r="D16" s="552">
        <v>25.74</v>
      </c>
      <c r="E16" s="673">
        <v>0.6</v>
      </c>
      <c r="F16" s="674"/>
      <c r="G16" s="675">
        <v>0</v>
      </c>
      <c r="H16" s="556">
        <f>ROUND(25.74*0.6*0,0)</f>
        <v>0</v>
      </c>
      <c r="I16" s="676">
        <v>0</v>
      </c>
      <c r="J16" s="556">
        <f>ROUND(25.74*0.6*0,0)</f>
        <v>0</v>
      </c>
      <c r="K16" s="676">
        <v>0</v>
      </c>
      <c r="L16" s="556">
        <f>ROUND(25.74*0.6*0,0)</f>
        <v>0</v>
      </c>
      <c r="M16" s="676">
        <v>0</v>
      </c>
      <c r="N16" s="556">
        <f>ROUND(25.74*0.6*0,0)</f>
        <v>0</v>
      </c>
      <c r="O16" s="676">
        <v>0</v>
      </c>
      <c r="P16" s="556">
        <f>ROUND(25.74*0.6*0,0)</f>
        <v>0</v>
      </c>
      <c r="Q16" s="676">
        <v>0</v>
      </c>
      <c r="R16" s="556">
        <f>ROUND(25.74*0.6*0,0)</f>
        <v>0</v>
      </c>
      <c r="S16" s="676">
        <v>0</v>
      </c>
      <c r="T16" s="556">
        <f>ROUND(25.74*0.6*0,0)</f>
        <v>0</v>
      </c>
      <c r="U16" s="676">
        <v>0</v>
      </c>
      <c r="V16" s="556">
        <f>ROUND(25.74*0.6*0,0)</f>
        <v>0</v>
      </c>
      <c r="W16" s="676">
        <v>5.0999999999999996</v>
      </c>
      <c r="X16" s="556">
        <f>ROUND(25.74*0.6*5.1,0)</f>
        <v>79</v>
      </c>
      <c r="Y16" s="676">
        <v>6.9</v>
      </c>
      <c r="Z16" s="556">
        <f>ROUND(25.74*0.6*6.9,0)</f>
        <v>107</v>
      </c>
      <c r="AA16" s="676">
        <v>9.1</v>
      </c>
      <c r="AB16" s="556">
        <f>ROUND(25.74*0.6*9.1,0)</f>
        <v>141</v>
      </c>
      <c r="AC16" s="676">
        <v>11.5</v>
      </c>
      <c r="AD16" s="556">
        <f>ROUND(25.74*0.6*11.5,0)</f>
        <v>178</v>
      </c>
      <c r="AE16" s="676">
        <v>13.7</v>
      </c>
      <c r="AF16" s="556">
        <f>ROUND(25.74*0.6*13.7,0)</f>
        <v>212</v>
      </c>
      <c r="AG16" s="676">
        <v>15.5</v>
      </c>
      <c r="AH16" s="556">
        <f>ROUND(25.74*0.6*15.5,0)</f>
        <v>239</v>
      </c>
      <c r="AI16" s="676">
        <v>16.3</v>
      </c>
      <c r="AJ16" s="556">
        <f>ROUND(25.74*0.6*16.3,0)</f>
        <v>252</v>
      </c>
      <c r="AK16" s="676">
        <v>16</v>
      </c>
      <c r="AL16" s="556">
        <f>ROUND(25.74*0.6*16,0)</f>
        <v>247</v>
      </c>
      <c r="AM16" s="676">
        <v>14.7</v>
      </c>
      <c r="AN16" s="556">
        <f>ROUND(25.74*0.6*14.7,0)</f>
        <v>227</v>
      </c>
      <c r="AO16" s="676">
        <v>12.6</v>
      </c>
      <c r="AP16" s="556">
        <f>ROUND(25.74*0.6*12.6,0)</f>
        <v>195</v>
      </c>
      <c r="AQ16" s="676">
        <v>0</v>
      </c>
      <c r="AR16" s="556">
        <f>ROUND(25.74*0.6*0,0)</f>
        <v>0</v>
      </c>
      <c r="AS16" s="676">
        <v>0</v>
      </c>
      <c r="AT16" s="556">
        <f>ROUND(25.74*0.6*0,0)</f>
        <v>0</v>
      </c>
      <c r="AU16" s="676">
        <v>0</v>
      </c>
      <c r="AV16" s="556">
        <f>ROUND(25.74*0.6*0,0)</f>
        <v>0</v>
      </c>
      <c r="AW16" s="676">
        <v>0</v>
      </c>
      <c r="AX16" s="556">
        <f>ROUND(25.74*0.6*0,0)</f>
        <v>0</v>
      </c>
      <c r="AY16" s="676">
        <v>0</v>
      </c>
      <c r="AZ16" s="556">
        <f>ROUND(25.74*0.6*0,0)</f>
        <v>0</v>
      </c>
      <c r="BA16" s="676">
        <v>0</v>
      </c>
      <c r="BB16" s="677">
        <f>ROUND(25.74*0.6*0,0)</f>
        <v>0</v>
      </c>
      <c r="BC16" s="559"/>
      <c r="BD16" s="549"/>
      <c r="BE16" s="551" t="s">
        <v>216</v>
      </c>
      <c r="BF16" s="672" t="s">
        <v>71</v>
      </c>
      <c r="BG16" s="552">
        <v>25.74</v>
      </c>
      <c r="BH16" s="673">
        <v>0.6</v>
      </c>
      <c r="BI16" s="674"/>
      <c r="BJ16" s="675">
        <v>0</v>
      </c>
      <c r="BK16" s="556">
        <f>ROUND(25.74*0.6*0,0)</f>
        <v>0</v>
      </c>
      <c r="BL16" s="676">
        <v>0</v>
      </c>
      <c r="BM16" s="556">
        <f>ROUND(25.74*0.6*0,0)</f>
        <v>0</v>
      </c>
      <c r="BN16" s="676">
        <v>0</v>
      </c>
      <c r="BO16" s="556">
        <f>ROUND(25.74*0.6*0,0)</f>
        <v>0</v>
      </c>
      <c r="BP16" s="676">
        <v>0</v>
      </c>
      <c r="BQ16" s="556">
        <f>ROUND(25.74*0.6*0,0)</f>
        <v>0</v>
      </c>
      <c r="BR16" s="676">
        <v>0</v>
      </c>
      <c r="BS16" s="556">
        <f>ROUND(25.74*0.6*0,0)</f>
        <v>0</v>
      </c>
      <c r="BT16" s="676">
        <v>0</v>
      </c>
      <c r="BU16" s="556">
        <f>ROUND(25.74*0.6*0,0)</f>
        <v>0</v>
      </c>
      <c r="BV16" s="676">
        <v>0</v>
      </c>
      <c r="BW16" s="556">
        <f>ROUND(25.74*0.6*0,0)</f>
        <v>0</v>
      </c>
      <c r="BX16" s="676">
        <v>0</v>
      </c>
      <c r="BY16" s="556">
        <f>ROUND(25.74*0.6*0,0)</f>
        <v>0</v>
      </c>
      <c r="BZ16" s="676">
        <v>4.5999999999999996</v>
      </c>
      <c r="CA16" s="556">
        <f>ROUND(25.74*0.6*4.6,0)</f>
        <v>71</v>
      </c>
      <c r="CB16" s="676">
        <v>6.4</v>
      </c>
      <c r="CC16" s="556">
        <f>ROUND(25.74*0.6*6.4,0)</f>
        <v>99</v>
      </c>
      <c r="CD16" s="676">
        <v>8.6999999999999993</v>
      </c>
      <c r="CE16" s="556">
        <f>ROUND(25.74*0.6*8.7,0)</f>
        <v>134</v>
      </c>
      <c r="CF16" s="676">
        <v>11.5</v>
      </c>
      <c r="CG16" s="556">
        <f>ROUND(25.74*0.6*11.5,0)</f>
        <v>178</v>
      </c>
      <c r="CH16" s="676">
        <v>14.2</v>
      </c>
      <c r="CI16" s="556">
        <f>ROUND(25.74*0.6*14.2,0)</f>
        <v>219</v>
      </c>
      <c r="CJ16" s="676">
        <v>16.5</v>
      </c>
      <c r="CK16" s="556">
        <f>ROUND(25.74*0.6*16.5,0)</f>
        <v>255</v>
      </c>
      <c r="CL16" s="676">
        <v>17.7</v>
      </c>
      <c r="CM16" s="556">
        <f>ROUND(25.74*0.6*17.7,0)</f>
        <v>273</v>
      </c>
      <c r="CN16" s="676">
        <v>17.8</v>
      </c>
      <c r="CO16" s="556">
        <f>ROUND(25.74*0.6*17.8,0)</f>
        <v>275</v>
      </c>
      <c r="CP16" s="676">
        <v>16.600000000000001</v>
      </c>
      <c r="CQ16" s="556">
        <f>ROUND(25.74*0.6*16.6,0)</f>
        <v>256</v>
      </c>
      <c r="CR16" s="676">
        <v>14.4</v>
      </c>
      <c r="CS16" s="556">
        <f>ROUND(25.74*0.6*14.4,0)</f>
        <v>222</v>
      </c>
      <c r="CT16" s="676">
        <v>0</v>
      </c>
      <c r="CU16" s="556">
        <f>ROUND(25.74*0.6*0,0)</f>
        <v>0</v>
      </c>
      <c r="CV16" s="676">
        <v>0</v>
      </c>
      <c r="CW16" s="556">
        <f>ROUND(25.74*0.6*0,0)</f>
        <v>0</v>
      </c>
      <c r="CX16" s="676">
        <v>0</v>
      </c>
      <c r="CY16" s="556">
        <f>ROUND(25.74*0.6*0,0)</f>
        <v>0</v>
      </c>
      <c r="CZ16" s="676">
        <v>0</v>
      </c>
      <c r="DA16" s="556">
        <f>ROUND(25.74*0.6*0,0)</f>
        <v>0</v>
      </c>
      <c r="DB16" s="676">
        <v>0</v>
      </c>
      <c r="DC16" s="556">
        <f>ROUND(25.74*0.6*0,0)</f>
        <v>0</v>
      </c>
      <c r="DD16" s="676">
        <v>0</v>
      </c>
      <c r="DE16" s="677">
        <f>ROUND(25.74*0.6*0,0)</f>
        <v>0</v>
      </c>
      <c r="DF16" s="559"/>
      <c r="DG16" s="549"/>
      <c r="DH16" s="551" t="s">
        <v>216</v>
      </c>
      <c r="DI16" s="672" t="s">
        <v>71</v>
      </c>
      <c r="DJ16" s="552">
        <v>25.74</v>
      </c>
      <c r="DK16" s="673">
        <v>0.6</v>
      </c>
      <c r="DL16" s="674"/>
      <c r="DM16" s="675">
        <v>0</v>
      </c>
      <c r="DN16" s="556">
        <f>ROUND(25.74*0.6*0,0)</f>
        <v>0</v>
      </c>
      <c r="DO16" s="676">
        <v>0</v>
      </c>
      <c r="DP16" s="556">
        <f>ROUND(25.74*0.6*0,0)</f>
        <v>0</v>
      </c>
      <c r="DQ16" s="676">
        <v>0</v>
      </c>
      <c r="DR16" s="556">
        <f>ROUND(25.74*0.6*0,0)</f>
        <v>0</v>
      </c>
      <c r="DS16" s="676">
        <v>0</v>
      </c>
      <c r="DT16" s="556">
        <f>ROUND(25.74*0.6*0,0)</f>
        <v>0</v>
      </c>
      <c r="DU16" s="676">
        <v>0</v>
      </c>
      <c r="DV16" s="556">
        <f>ROUND(25.74*0.6*0,0)</f>
        <v>0</v>
      </c>
      <c r="DW16" s="676">
        <v>0</v>
      </c>
      <c r="DX16" s="556">
        <f>ROUND(25.74*0.6*0,0)</f>
        <v>0</v>
      </c>
      <c r="DY16" s="676">
        <v>0</v>
      </c>
      <c r="DZ16" s="556">
        <f>ROUND(25.74*0.6*0,0)</f>
        <v>0</v>
      </c>
      <c r="EA16" s="676">
        <v>0</v>
      </c>
      <c r="EB16" s="556">
        <f>ROUND(25.74*0.6*0,0)</f>
        <v>0</v>
      </c>
      <c r="EC16" s="676">
        <v>2.2000000000000002</v>
      </c>
      <c r="ED16" s="556">
        <f>ROUND(25.74*0.6*2.2,0)</f>
        <v>34</v>
      </c>
      <c r="EE16" s="676">
        <v>5.0999999999999996</v>
      </c>
      <c r="EF16" s="556">
        <f>ROUND(25.74*0.6*5.1,0)</f>
        <v>79</v>
      </c>
      <c r="EG16" s="676">
        <v>8.9</v>
      </c>
      <c r="EH16" s="556">
        <f>ROUND(25.74*0.6*8.9,0)</f>
        <v>137</v>
      </c>
      <c r="EI16" s="676">
        <v>12.9</v>
      </c>
      <c r="EJ16" s="556">
        <f>ROUND(25.74*0.6*12.9,0)</f>
        <v>199</v>
      </c>
      <c r="EK16" s="676">
        <v>16.399999999999999</v>
      </c>
      <c r="EL16" s="556">
        <f>ROUND(25.74*0.6*16.4,0)</f>
        <v>253</v>
      </c>
      <c r="EM16" s="676">
        <v>18.899999999999999</v>
      </c>
      <c r="EN16" s="556">
        <f>ROUND(25.74*0.6*18.9,0)</f>
        <v>292</v>
      </c>
      <c r="EO16" s="676">
        <v>20.2</v>
      </c>
      <c r="EP16" s="556">
        <f>ROUND(25.74*0.6*20.2,0)</f>
        <v>312</v>
      </c>
      <c r="EQ16" s="676">
        <v>19.8</v>
      </c>
      <c r="ER16" s="556">
        <f>ROUND(25.74*0.6*19.8,0)</f>
        <v>306</v>
      </c>
      <c r="ES16" s="676">
        <v>17.7</v>
      </c>
      <c r="ET16" s="556">
        <f>ROUND(25.74*0.6*17.7,0)</f>
        <v>273</v>
      </c>
      <c r="EU16" s="676">
        <v>14.1</v>
      </c>
      <c r="EV16" s="556">
        <f>ROUND(25.74*0.6*14.1,0)</f>
        <v>218</v>
      </c>
      <c r="EW16" s="676">
        <v>0</v>
      </c>
      <c r="EX16" s="556">
        <f>ROUND(25.74*0.6*0,0)</f>
        <v>0</v>
      </c>
      <c r="EY16" s="676">
        <v>0</v>
      </c>
      <c r="EZ16" s="556">
        <f>ROUND(25.74*0.6*0,0)</f>
        <v>0</v>
      </c>
      <c r="FA16" s="676">
        <v>0</v>
      </c>
      <c r="FB16" s="556">
        <f>ROUND(25.74*0.6*0,0)</f>
        <v>0</v>
      </c>
      <c r="FC16" s="676">
        <v>0</v>
      </c>
      <c r="FD16" s="556">
        <f>ROUND(25.74*0.6*0,0)</f>
        <v>0</v>
      </c>
      <c r="FE16" s="676">
        <v>0</v>
      </c>
      <c r="FF16" s="556">
        <f>ROUND(25.74*0.6*0,0)</f>
        <v>0</v>
      </c>
      <c r="FG16" s="676">
        <v>0</v>
      </c>
      <c r="FH16" s="677">
        <f>ROUND(25.74*0.6*0,0)</f>
        <v>0</v>
      </c>
      <c r="FI16" s="560"/>
      <c r="FJ16" s="561"/>
      <c r="FK16" s="551" t="s">
        <v>216</v>
      </c>
      <c r="FL16" s="672" t="s">
        <v>71</v>
      </c>
      <c r="FM16" s="552">
        <v>25.74</v>
      </c>
      <c r="FN16" s="673">
        <v>0.6</v>
      </c>
      <c r="FO16" s="674"/>
      <c r="FP16" s="678">
        <v>9</v>
      </c>
      <c r="FQ16" s="679">
        <v>20</v>
      </c>
      <c r="FR16" s="556">
        <f>ROUND(25.74*0.6*20,0)</f>
        <v>309</v>
      </c>
      <c r="FS16" s="680">
        <v>9</v>
      </c>
      <c r="FT16" s="679">
        <v>20.5</v>
      </c>
      <c r="FU16" s="564">
        <f>ROUND(25.74*0.6*20.5,0)</f>
        <v>317</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226</v>
      </c>
      <c r="C17" s="684" t="s">
        <v>71</v>
      </c>
      <c r="D17" s="580">
        <v>10.8</v>
      </c>
      <c r="E17" s="685" t="s">
        <v>349</v>
      </c>
      <c r="F17" s="686"/>
      <c r="G17" s="687">
        <v>0</v>
      </c>
      <c r="H17" s="584">
        <f>ROUND(10.8*4.2*0,0)</f>
        <v>0</v>
      </c>
      <c r="I17" s="688">
        <v>0</v>
      </c>
      <c r="J17" s="584">
        <f>ROUND(10.8*4.2*0,0)</f>
        <v>0</v>
      </c>
      <c r="K17" s="688">
        <v>0</v>
      </c>
      <c r="L17" s="584">
        <f>ROUND(10.8*4.2*0,0)</f>
        <v>0</v>
      </c>
      <c r="M17" s="688">
        <v>0</v>
      </c>
      <c r="N17" s="584">
        <f>ROUND(10.8*4.2*0,0)</f>
        <v>0</v>
      </c>
      <c r="O17" s="688">
        <v>0</v>
      </c>
      <c r="P17" s="584">
        <f>ROUND(10.8*4.2*0,0)</f>
        <v>0</v>
      </c>
      <c r="Q17" s="688">
        <v>0</v>
      </c>
      <c r="R17" s="584">
        <f>ROUND(10.8*4.2*0,0)</f>
        <v>0</v>
      </c>
      <c r="S17" s="688">
        <v>0</v>
      </c>
      <c r="T17" s="584">
        <f>ROUND(10.8*4.2*0,0)</f>
        <v>0</v>
      </c>
      <c r="U17" s="688">
        <v>0</v>
      </c>
      <c r="V17" s="584">
        <f>ROUND(10.8*4.2*0,0)</f>
        <v>0</v>
      </c>
      <c r="W17" s="688">
        <v>5.3</v>
      </c>
      <c r="X17" s="584">
        <f>ROUND(10.8*4.2*5.3,0)</f>
        <v>240</v>
      </c>
      <c r="Y17" s="688">
        <v>6.5</v>
      </c>
      <c r="Z17" s="584">
        <f>ROUND(10.8*4.2*6.5,0)</f>
        <v>295</v>
      </c>
      <c r="AA17" s="688">
        <v>7.2</v>
      </c>
      <c r="AB17" s="584">
        <f>ROUND(10.8*4.2*7.2,0)</f>
        <v>327</v>
      </c>
      <c r="AC17" s="688">
        <v>7.7</v>
      </c>
      <c r="AD17" s="584">
        <f>ROUND(10.8*4.2*7.7,0)</f>
        <v>349</v>
      </c>
      <c r="AE17" s="688">
        <v>7.9</v>
      </c>
      <c r="AF17" s="584">
        <f>ROUND(10.8*4.2*7.9,0)</f>
        <v>358</v>
      </c>
      <c r="AG17" s="688">
        <v>7.9</v>
      </c>
      <c r="AH17" s="584">
        <f>ROUND(10.8*4.2*7.9,0)</f>
        <v>358</v>
      </c>
      <c r="AI17" s="688">
        <v>7.4</v>
      </c>
      <c r="AJ17" s="584">
        <f>ROUND(10.8*4.2*7.4,0)</f>
        <v>336</v>
      </c>
      <c r="AK17" s="688">
        <v>6.9</v>
      </c>
      <c r="AL17" s="584">
        <f>ROUND(10.8*4.2*6.9,0)</f>
        <v>313</v>
      </c>
      <c r="AM17" s="688">
        <v>6</v>
      </c>
      <c r="AN17" s="584">
        <f>ROUND(10.8*4.2*6,0)</f>
        <v>272</v>
      </c>
      <c r="AO17" s="688">
        <v>5.3</v>
      </c>
      <c r="AP17" s="584">
        <f>ROUND(10.8*4.2*5.3,0)</f>
        <v>240</v>
      </c>
      <c r="AQ17" s="688">
        <v>0</v>
      </c>
      <c r="AR17" s="584">
        <f>ROUND(10.8*4.2*0,0)</f>
        <v>0</v>
      </c>
      <c r="AS17" s="688">
        <v>0</v>
      </c>
      <c r="AT17" s="584">
        <f>ROUND(10.8*4.2*0,0)</f>
        <v>0</v>
      </c>
      <c r="AU17" s="688">
        <v>0</v>
      </c>
      <c r="AV17" s="584">
        <f>ROUND(10.8*4.2*0,0)</f>
        <v>0</v>
      </c>
      <c r="AW17" s="688">
        <v>0</v>
      </c>
      <c r="AX17" s="584">
        <f>ROUND(10.8*4.2*0,0)</f>
        <v>0</v>
      </c>
      <c r="AY17" s="688">
        <v>0</v>
      </c>
      <c r="AZ17" s="584">
        <f>ROUND(10.8*4.2*0,0)</f>
        <v>0</v>
      </c>
      <c r="BA17" s="688">
        <v>0</v>
      </c>
      <c r="BB17" s="586">
        <f>ROUND(10.8*4.2*0,0)</f>
        <v>0</v>
      </c>
      <c r="BC17" s="559"/>
      <c r="BD17" s="549"/>
      <c r="BE17" s="579" t="s">
        <v>226</v>
      </c>
      <c r="BF17" s="684" t="s">
        <v>71</v>
      </c>
      <c r="BG17" s="580">
        <v>10.8</v>
      </c>
      <c r="BH17" s="685" t="s">
        <v>349</v>
      </c>
      <c r="BI17" s="686"/>
      <c r="BJ17" s="687">
        <v>0</v>
      </c>
      <c r="BK17" s="584">
        <f>ROUND(10.8*4.2*0,0)</f>
        <v>0</v>
      </c>
      <c r="BL17" s="688">
        <v>0</v>
      </c>
      <c r="BM17" s="584">
        <f>ROUND(10.8*4.2*0,0)</f>
        <v>0</v>
      </c>
      <c r="BN17" s="688">
        <v>0</v>
      </c>
      <c r="BO17" s="584">
        <f>ROUND(10.8*4.2*0,0)</f>
        <v>0</v>
      </c>
      <c r="BP17" s="688">
        <v>0</v>
      </c>
      <c r="BQ17" s="584">
        <f>ROUND(10.8*4.2*0,0)</f>
        <v>0</v>
      </c>
      <c r="BR17" s="688">
        <v>0</v>
      </c>
      <c r="BS17" s="584">
        <f>ROUND(10.8*4.2*0,0)</f>
        <v>0</v>
      </c>
      <c r="BT17" s="688">
        <v>0</v>
      </c>
      <c r="BU17" s="584">
        <f>ROUND(10.8*4.2*0,0)</f>
        <v>0</v>
      </c>
      <c r="BV17" s="688">
        <v>0</v>
      </c>
      <c r="BW17" s="584">
        <f>ROUND(10.8*4.2*0,0)</f>
        <v>0</v>
      </c>
      <c r="BX17" s="688">
        <v>0</v>
      </c>
      <c r="BY17" s="584">
        <f>ROUND(10.8*4.2*0,0)</f>
        <v>0</v>
      </c>
      <c r="BZ17" s="688">
        <v>5.0999999999999996</v>
      </c>
      <c r="CA17" s="584">
        <f>ROUND(10.8*4.2*5.1,0)</f>
        <v>231</v>
      </c>
      <c r="CB17" s="688">
        <v>6.1</v>
      </c>
      <c r="CC17" s="584">
        <f>ROUND(10.8*4.2*6.1,0)</f>
        <v>277</v>
      </c>
      <c r="CD17" s="688">
        <v>7</v>
      </c>
      <c r="CE17" s="584">
        <f>ROUND(10.8*4.2*7,0)</f>
        <v>318</v>
      </c>
      <c r="CF17" s="688">
        <v>7.4</v>
      </c>
      <c r="CG17" s="584">
        <f>ROUND(10.8*4.2*7.4,0)</f>
        <v>336</v>
      </c>
      <c r="CH17" s="688">
        <v>7.6</v>
      </c>
      <c r="CI17" s="584">
        <f>ROUND(10.8*4.2*7.6,0)</f>
        <v>345</v>
      </c>
      <c r="CJ17" s="688">
        <v>7.4</v>
      </c>
      <c r="CK17" s="584">
        <f>ROUND(10.8*4.2*7.4,0)</f>
        <v>336</v>
      </c>
      <c r="CL17" s="688">
        <v>6.9</v>
      </c>
      <c r="CM17" s="584">
        <f>ROUND(10.8*4.2*6.9,0)</f>
        <v>313</v>
      </c>
      <c r="CN17" s="688">
        <v>6.5</v>
      </c>
      <c r="CO17" s="584">
        <f>ROUND(10.8*4.2*6.5,0)</f>
        <v>295</v>
      </c>
      <c r="CP17" s="688">
        <v>6</v>
      </c>
      <c r="CQ17" s="584">
        <f>ROUND(10.8*4.2*6,0)</f>
        <v>272</v>
      </c>
      <c r="CR17" s="688">
        <v>5.0999999999999996</v>
      </c>
      <c r="CS17" s="584">
        <f>ROUND(10.8*4.2*5.1,0)</f>
        <v>231</v>
      </c>
      <c r="CT17" s="688">
        <v>0</v>
      </c>
      <c r="CU17" s="584">
        <f>ROUND(10.8*4.2*0,0)</f>
        <v>0</v>
      </c>
      <c r="CV17" s="688">
        <v>0</v>
      </c>
      <c r="CW17" s="584">
        <f>ROUND(10.8*4.2*0,0)</f>
        <v>0</v>
      </c>
      <c r="CX17" s="688">
        <v>0</v>
      </c>
      <c r="CY17" s="584">
        <f>ROUND(10.8*4.2*0,0)</f>
        <v>0</v>
      </c>
      <c r="CZ17" s="688">
        <v>0</v>
      </c>
      <c r="DA17" s="584">
        <f>ROUND(10.8*4.2*0,0)</f>
        <v>0</v>
      </c>
      <c r="DB17" s="688">
        <v>0</v>
      </c>
      <c r="DC17" s="584">
        <f>ROUND(10.8*4.2*0,0)</f>
        <v>0</v>
      </c>
      <c r="DD17" s="688">
        <v>0</v>
      </c>
      <c r="DE17" s="586">
        <f>ROUND(10.8*4.2*0,0)</f>
        <v>0</v>
      </c>
      <c r="DF17" s="559"/>
      <c r="DG17" s="549"/>
      <c r="DH17" s="579" t="s">
        <v>226</v>
      </c>
      <c r="DI17" s="684" t="s">
        <v>71</v>
      </c>
      <c r="DJ17" s="580">
        <v>10.8</v>
      </c>
      <c r="DK17" s="685" t="s">
        <v>349</v>
      </c>
      <c r="DL17" s="686"/>
      <c r="DM17" s="687">
        <v>0</v>
      </c>
      <c r="DN17" s="584">
        <f>ROUND(10.8*4.2*0,0)</f>
        <v>0</v>
      </c>
      <c r="DO17" s="688">
        <v>0</v>
      </c>
      <c r="DP17" s="584">
        <f>ROUND(10.8*4.2*0,0)</f>
        <v>0</v>
      </c>
      <c r="DQ17" s="688">
        <v>0</v>
      </c>
      <c r="DR17" s="584">
        <f>ROUND(10.8*4.2*0,0)</f>
        <v>0</v>
      </c>
      <c r="DS17" s="688">
        <v>0</v>
      </c>
      <c r="DT17" s="584">
        <f>ROUND(10.8*4.2*0,0)</f>
        <v>0</v>
      </c>
      <c r="DU17" s="688">
        <v>0</v>
      </c>
      <c r="DV17" s="584">
        <f>ROUND(10.8*4.2*0,0)</f>
        <v>0</v>
      </c>
      <c r="DW17" s="688">
        <v>0</v>
      </c>
      <c r="DX17" s="584">
        <f>ROUND(10.8*4.2*0,0)</f>
        <v>0</v>
      </c>
      <c r="DY17" s="688">
        <v>0</v>
      </c>
      <c r="DZ17" s="584">
        <f>ROUND(10.8*4.2*0,0)</f>
        <v>0</v>
      </c>
      <c r="EA17" s="688">
        <v>0</v>
      </c>
      <c r="EB17" s="584">
        <f>ROUND(10.8*4.2*0,0)</f>
        <v>0</v>
      </c>
      <c r="EC17" s="688">
        <v>2.8</v>
      </c>
      <c r="ED17" s="584">
        <f>ROUND(10.8*4.2*2.8,0)</f>
        <v>127</v>
      </c>
      <c r="EE17" s="688">
        <v>4.0999999999999996</v>
      </c>
      <c r="EF17" s="584">
        <f>ROUND(10.8*4.2*4.1,0)</f>
        <v>186</v>
      </c>
      <c r="EG17" s="688">
        <v>4.9000000000000004</v>
      </c>
      <c r="EH17" s="584">
        <f>ROUND(10.8*4.2*4.9,0)</f>
        <v>222</v>
      </c>
      <c r="EI17" s="688">
        <v>5.6</v>
      </c>
      <c r="EJ17" s="584">
        <f>ROUND(10.8*4.2*5.6,0)</f>
        <v>254</v>
      </c>
      <c r="EK17" s="688">
        <v>5.8</v>
      </c>
      <c r="EL17" s="584">
        <f>ROUND(10.8*4.2*5.8,0)</f>
        <v>263</v>
      </c>
      <c r="EM17" s="688">
        <v>5.5</v>
      </c>
      <c r="EN17" s="584">
        <f>ROUND(10.8*4.2*5.5,0)</f>
        <v>249</v>
      </c>
      <c r="EO17" s="688">
        <v>5.0999999999999996</v>
      </c>
      <c r="EP17" s="584">
        <f>ROUND(10.8*4.2*5.1,0)</f>
        <v>231</v>
      </c>
      <c r="EQ17" s="688">
        <v>4.7</v>
      </c>
      <c r="ER17" s="584">
        <f>ROUND(10.8*4.2*4.7,0)</f>
        <v>213</v>
      </c>
      <c r="ES17" s="688">
        <v>3.7</v>
      </c>
      <c r="ET17" s="584">
        <f>ROUND(10.8*4.2*3.7,0)</f>
        <v>168</v>
      </c>
      <c r="EU17" s="688">
        <v>2.7</v>
      </c>
      <c r="EV17" s="584">
        <f>ROUND(10.8*4.2*2.7,0)</f>
        <v>122</v>
      </c>
      <c r="EW17" s="688">
        <v>0</v>
      </c>
      <c r="EX17" s="584">
        <f>ROUND(10.8*4.2*0,0)</f>
        <v>0</v>
      </c>
      <c r="EY17" s="688">
        <v>0</v>
      </c>
      <c r="EZ17" s="584">
        <f>ROUND(10.8*4.2*0,0)</f>
        <v>0</v>
      </c>
      <c r="FA17" s="688">
        <v>0</v>
      </c>
      <c r="FB17" s="584">
        <f>ROUND(10.8*4.2*0,0)</f>
        <v>0</v>
      </c>
      <c r="FC17" s="688">
        <v>0</v>
      </c>
      <c r="FD17" s="584">
        <f>ROUND(10.8*4.2*0,0)</f>
        <v>0</v>
      </c>
      <c r="FE17" s="688">
        <v>0</v>
      </c>
      <c r="FF17" s="584">
        <f>ROUND(10.8*4.2*0,0)</f>
        <v>0</v>
      </c>
      <c r="FG17" s="688">
        <v>0</v>
      </c>
      <c r="FH17" s="586">
        <f>ROUND(10.8*4.2*0,0)</f>
        <v>0</v>
      </c>
      <c r="FI17" s="560"/>
      <c r="FJ17" s="561"/>
      <c r="FK17" s="579" t="s">
        <v>226</v>
      </c>
      <c r="FL17" s="684" t="s">
        <v>71</v>
      </c>
      <c r="FM17" s="580">
        <v>10.8</v>
      </c>
      <c r="FN17" s="685" t="s">
        <v>349</v>
      </c>
      <c r="FO17" s="686"/>
      <c r="FP17" s="689">
        <v>9</v>
      </c>
      <c r="FQ17" s="690">
        <v>20</v>
      </c>
      <c r="FR17" s="584">
        <f>ROUND(10.8*4.2*20,0)</f>
        <v>907</v>
      </c>
      <c r="FS17" s="691">
        <v>9</v>
      </c>
      <c r="FT17" s="690">
        <v>20.5</v>
      </c>
      <c r="FU17" s="589">
        <f>ROUND(10.8*4.2*20.5,0)</f>
        <v>930</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247</v>
      </c>
      <c r="C18" s="684"/>
      <c r="D18" s="580">
        <v>7.28</v>
      </c>
      <c r="E18" s="685">
        <v>2.5</v>
      </c>
      <c r="F18" s="686"/>
      <c r="G18" s="687">
        <v>0</v>
      </c>
      <c r="H18" s="584">
        <f>ROUND(7.28*2.5*0,0)</f>
        <v>0</v>
      </c>
      <c r="I18" s="688">
        <v>0</v>
      </c>
      <c r="J18" s="584">
        <f>ROUND(7.28*2.5*0,0)</f>
        <v>0</v>
      </c>
      <c r="K18" s="688">
        <v>0</v>
      </c>
      <c r="L18" s="584">
        <f>ROUND(7.28*2.5*0,0)</f>
        <v>0</v>
      </c>
      <c r="M18" s="688">
        <v>0</v>
      </c>
      <c r="N18" s="584">
        <f>ROUND(7.28*2.5*0,0)</f>
        <v>0</v>
      </c>
      <c r="O18" s="688">
        <v>0</v>
      </c>
      <c r="P18" s="584">
        <f>ROUND(7.28*2.5*0,0)</f>
        <v>0</v>
      </c>
      <c r="Q18" s="688">
        <v>0</v>
      </c>
      <c r="R18" s="584">
        <f>ROUND(7.28*2.5*0,0)</f>
        <v>0</v>
      </c>
      <c r="S18" s="688">
        <v>0</v>
      </c>
      <c r="T18" s="584">
        <f>ROUND(7.28*2.5*0,0)</f>
        <v>0</v>
      </c>
      <c r="U18" s="688">
        <v>0</v>
      </c>
      <c r="V18" s="584">
        <f>ROUND(7.28*2.5*0,0)</f>
        <v>0</v>
      </c>
      <c r="W18" s="688">
        <v>1.6</v>
      </c>
      <c r="X18" s="584">
        <f>ROUND(7.28*2.5*1.6,0)</f>
        <v>29</v>
      </c>
      <c r="Y18" s="688">
        <v>2</v>
      </c>
      <c r="Z18" s="584">
        <f>ROUND(7.28*2.5*2,0)</f>
        <v>36</v>
      </c>
      <c r="AA18" s="688">
        <v>2.2000000000000002</v>
      </c>
      <c r="AB18" s="584">
        <f>ROUND(7.28*2.5*2.2,0)</f>
        <v>40</v>
      </c>
      <c r="AC18" s="688">
        <v>2.2999999999999998</v>
      </c>
      <c r="AD18" s="584">
        <f>ROUND(7.28*2.5*2.3,0)</f>
        <v>42</v>
      </c>
      <c r="AE18" s="688">
        <v>2.4</v>
      </c>
      <c r="AF18" s="584">
        <f>ROUND(7.28*2.5*2.4,0)</f>
        <v>44</v>
      </c>
      <c r="AG18" s="688">
        <v>2.4</v>
      </c>
      <c r="AH18" s="584">
        <f>ROUND(7.28*2.5*2.4,0)</f>
        <v>44</v>
      </c>
      <c r="AI18" s="688">
        <v>2.2000000000000002</v>
      </c>
      <c r="AJ18" s="584">
        <f>ROUND(7.28*2.5*2.2,0)</f>
        <v>40</v>
      </c>
      <c r="AK18" s="688">
        <v>2.1</v>
      </c>
      <c r="AL18" s="584">
        <f>ROUND(7.28*2.5*2.1,0)</f>
        <v>38</v>
      </c>
      <c r="AM18" s="688">
        <v>1.8</v>
      </c>
      <c r="AN18" s="584">
        <f>ROUND(7.28*2.5*1.8,0)</f>
        <v>33</v>
      </c>
      <c r="AO18" s="688">
        <v>1.6</v>
      </c>
      <c r="AP18" s="584">
        <f>ROUND(7.28*2.5*1.6,0)</f>
        <v>29</v>
      </c>
      <c r="AQ18" s="688">
        <v>0</v>
      </c>
      <c r="AR18" s="584">
        <f>ROUND(7.28*2.5*0,0)</f>
        <v>0</v>
      </c>
      <c r="AS18" s="688">
        <v>0</v>
      </c>
      <c r="AT18" s="584">
        <f>ROUND(7.28*2.5*0,0)</f>
        <v>0</v>
      </c>
      <c r="AU18" s="688">
        <v>0</v>
      </c>
      <c r="AV18" s="584">
        <f>ROUND(7.28*2.5*0,0)</f>
        <v>0</v>
      </c>
      <c r="AW18" s="688">
        <v>0</v>
      </c>
      <c r="AX18" s="584">
        <f>ROUND(7.28*2.5*0,0)</f>
        <v>0</v>
      </c>
      <c r="AY18" s="688">
        <v>0</v>
      </c>
      <c r="AZ18" s="584">
        <f>ROUND(7.28*2.5*0,0)</f>
        <v>0</v>
      </c>
      <c r="BA18" s="688">
        <v>0</v>
      </c>
      <c r="BB18" s="586">
        <f>ROUND(7.28*2.5*0,0)</f>
        <v>0</v>
      </c>
      <c r="BC18" s="559"/>
      <c r="BD18" s="549"/>
      <c r="BE18" s="693" t="s">
        <v>247</v>
      </c>
      <c r="BF18" s="684"/>
      <c r="BG18" s="580">
        <v>7.28</v>
      </c>
      <c r="BH18" s="685">
        <v>2.5</v>
      </c>
      <c r="BI18" s="686"/>
      <c r="BJ18" s="687">
        <v>0</v>
      </c>
      <c r="BK18" s="584">
        <f>ROUND(7.28*2.5*0,0)</f>
        <v>0</v>
      </c>
      <c r="BL18" s="688">
        <v>0</v>
      </c>
      <c r="BM18" s="584">
        <f>ROUND(7.28*2.5*0,0)</f>
        <v>0</v>
      </c>
      <c r="BN18" s="688">
        <v>0</v>
      </c>
      <c r="BO18" s="584">
        <f>ROUND(7.28*2.5*0,0)</f>
        <v>0</v>
      </c>
      <c r="BP18" s="688">
        <v>0</v>
      </c>
      <c r="BQ18" s="584">
        <f>ROUND(7.28*2.5*0,0)</f>
        <v>0</v>
      </c>
      <c r="BR18" s="688">
        <v>0</v>
      </c>
      <c r="BS18" s="584">
        <f>ROUND(7.28*2.5*0,0)</f>
        <v>0</v>
      </c>
      <c r="BT18" s="688">
        <v>0</v>
      </c>
      <c r="BU18" s="584">
        <f>ROUND(7.28*2.5*0,0)</f>
        <v>0</v>
      </c>
      <c r="BV18" s="688">
        <v>0</v>
      </c>
      <c r="BW18" s="584">
        <f>ROUND(7.28*2.5*0,0)</f>
        <v>0</v>
      </c>
      <c r="BX18" s="688">
        <v>0</v>
      </c>
      <c r="BY18" s="584">
        <f>ROUND(7.28*2.5*0,0)</f>
        <v>0</v>
      </c>
      <c r="BZ18" s="688">
        <v>1.5</v>
      </c>
      <c r="CA18" s="584">
        <f>ROUND(7.28*2.5*1.5,0)</f>
        <v>27</v>
      </c>
      <c r="CB18" s="688">
        <v>1.8</v>
      </c>
      <c r="CC18" s="584">
        <f>ROUND(7.28*2.5*1.8,0)</f>
        <v>33</v>
      </c>
      <c r="CD18" s="688">
        <v>2.1</v>
      </c>
      <c r="CE18" s="584">
        <f>ROUND(7.28*2.5*2.1,0)</f>
        <v>38</v>
      </c>
      <c r="CF18" s="688">
        <v>2.2000000000000002</v>
      </c>
      <c r="CG18" s="584">
        <f>ROUND(7.28*2.5*2.2,0)</f>
        <v>40</v>
      </c>
      <c r="CH18" s="688">
        <v>2.2999999999999998</v>
      </c>
      <c r="CI18" s="584">
        <f>ROUND(7.28*2.5*2.3,0)</f>
        <v>42</v>
      </c>
      <c r="CJ18" s="688">
        <v>2.2000000000000002</v>
      </c>
      <c r="CK18" s="584">
        <f>ROUND(7.28*2.5*2.2,0)</f>
        <v>40</v>
      </c>
      <c r="CL18" s="688">
        <v>2.1</v>
      </c>
      <c r="CM18" s="584">
        <f>ROUND(7.28*2.5*2.1,0)</f>
        <v>38</v>
      </c>
      <c r="CN18" s="688">
        <v>2</v>
      </c>
      <c r="CO18" s="584">
        <f>ROUND(7.28*2.5*2,0)</f>
        <v>36</v>
      </c>
      <c r="CP18" s="688">
        <v>1.8</v>
      </c>
      <c r="CQ18" s="584">
        <f>ROUND(7.28*2.5*1.8,0)</f>
        <v>33</v>
      </c>
      <c r="CR18" s="688">
        <v>1.5</v>
      </c>
      <c r="CS18" s="584">
        <f>ROUND(7.28*2.5*1.5,0)</f>
        <v>27</v>
      </c>
      <c r="CT18" s="688">
        <v>0</v>
      </c>
      <c r="CU18" s="584">
        <f>ROUND(7.28*2.5*0,0)</f>
        <v>0</v>
      </c>
      <c r="CV18" s="688">
        <v>0</v>
      </c>
      <c r="CW18" s="584">
        <f>ROUND(7.28*2.5*0,0)</f>
        <v>0</v>
      </c>
      <c r="CX18" s="688">
        <v>0</v>
      </c>
      <c r="CY18" s="584">
        <f>ROUND(7.28*2.5*0,0)</f>
        <v>0</v>
      </c>
      <c r="CZ18" s="688">
        <v>0</v>
      </c>
      <c r="DA18" s="584">
        <f>ROUND(7.28*2.5*0,0)</f>
        <v>0</v>
      </c>
      <c r="DB18" s="688">
        <v>0</v>
      </c>
      <c r="DC18" s="584">
        <f>ROUND(7.28*2.5*0,0)</f>
        <v>0</v>
      </c>
      <c r="DD18" s="688">
        <v>0</v>
      </c>
      <c r="DE18" s="586">
        <f>ROUND(7.28*2.5*0,0)</f>
        <v>0</v>
      </c>
      <c r="DF18" s="559"/>
      <c r="DG18" s="549"/>
      <c r="DH18" s="693" t="s">
        <v>247</v>
      </c>
      <c r="DI18" s="684"/>
      <c r="DJ18" s="580">
        <v>7.28</v>
      </c>
      <c r="DK18" s="685">
        <v>2.5</v>
      </c>
      <c r="DL18" s="686"/>
      <c r="DM18" s="687">
        <v>0</v>
      </c>
      <c r="DN18" s="584">
        <f>ROUND(7.28*2.5*0,0)</f>
        <v>0</v>
      </c>
      <c r="DO18" s="688">
        <v>0</v>
      </c>
      <c r="DP18" s="584">
        <f>ROUND(7.28*2.5*0,0)</f>
        <v>0</v>
      </c>
      <c r="DQ18" s="688">
        <v>0</v>
      </c>
      <c r="DR18" s="584">
        <f>ROUND(7.28*2.5*0,0)</f>
        <v>0</v>
      </c>
      <c r="DS18" s="688">
        <v>0</v>
      </c>
      <c r="DT18" s="584">
        <f>ROUND(7.28*2.5*0,0)</f>
        <v>0</v>
      </c>
      <c r="DU18" s="688">
        <v>0</v>
      </c>
      <c r="DV18" s="584">
        <f>ROUND(7.28*2.5*0,0)</f>
        <v>0</v>
      </c>
      <c r="DW18" s="688">
        <v>0</v>
      </c>
      <c r="DX18" s="584">
        <f>ROUND(7.28*2.5*0,0)</f>
        <v>0</v>
      </c>
      <c r="DY18" s="688">
        <v>0</v>
      </c>
      <c r="DZ18" s="584">
        <f>ROUND(7.28*2.5*0,0)</f>
        <v>0</v>
      </c>
      <c r="EA18" s="688">
        <v>0</v>
      </c>
      <c r="EB18" s="584">
        <f>ROUND(7.28*2.5*0,0)</f>
        <v>0</v>
      </c>
      <c r="EC18" s="688">
        <v>0.8</v>
      </c>
      <c r="ED18" s="584">
        <f>ROUND(7.28*2.5*0.8,0)</f>
        <v>15</v>
      </c>
      <c r="EE18" s="688">
        <v>1.2</v>
      </c>
      <c r="EF18" s="584">
        <f>ROUND(7.28*2.5*1.2,0)</f>
        <v>22</v>
      </c>
      <c r="EG18" s="688">
        <v>1.5</v>
      </c>
      <c r="EH18" s="584">
        <f>ROUND(7.28*2.5*1.5,0)</f>
        <v>27</v>
      </c>
      <c r="EI18" s="688">
        <v>1.7</v>
      </c>
      <c r="EJ18" s="584">
        <f>ROUND(7.28*2.5*1.7,0)</f>
        <v>31</v>
      </c>
      <c r="EK18" s="688">
        <v>1.7</v>
      </c>
      <c r="EL18" s="584">
        <f>ROUND(7.28*2.5*1.7,0)</f>
        <v>31</v>
      </c>
      <c r="EM18" s="688">
        <v>1.6</v>
      </c>
      <c r="EN18" s="584">
        <f>ROUND(7.28*2.5*1.6,0)</f>
        <v>29</v>
      </c>
      <c r="EO18" s="688">
        <v>1.5</v>
      </c>
      <c r="EP18" s="584">
        <f>ROUND(7.28*2.5*1.5,0)</f>
        <v>27</v>
      </c>
      <c r="EQ18" s="688">
        <v>1.4</v>
      </c>
      <c r="ER18" s="584">
        <f>ROUND(7.28*2.5*1.4,0)</f>
        <v>25</v>
      </c>
      <c r="ES18" s="688">
        <v>1.1000000000000001</v>
      </c>
      <c r="ET18" s="584">
        <f>ROUND(7.28*2.5*1.1,0)</f>
        <v>20</v>
      </c>
      <c r="EU18" s="688">
        <v>0.8</v>
      </c>
      <c r="EV18" s="584">
        <f>ROUND(7.28*2.5*0.8,0)</f>
        <v>15</v>
      </c>
      <c r="EW18" s="688">
        <v>0</v>
      </c>
      <c r="EX18" s="584">
        <f>ROUND(7.28*2.5*0,0)</f>
        <v>0</v>
      </c>
      <c r="EY18" s="688">
        <v>0</v>
      </c>
      <c r="EZ18" s="584">
        <f>ROUND(7.28*2.5*0,0)</f>
        <v>0</v>
      </c>
      <c r="FA18" s="688">
        <v>0</v>
      </c>
      <c r="FB18" s="584">
        <f>ROUND(7.28*2.5*0,0)</f>
        <v>0</v>
      </c>
      <c r="FC18" s="688">
        <v>0</v>
      </c>
      <c r="FD18" s="584">
        <f>ROUND(7.28*2.5*0,0)</f>
        <v>0</v>
      </c>
      <c r="FE18" s="688">
        <v>0</v>
      </c>
      <c r="FF18" s="584">
        <f>ROUND(7.28*2.5*0,0)</f>
        <v>0</v>
      </c>
      <c r="FG18" s="688">
        <v>0</v>
      </c>
      <c r="FH18" s="586">
        <f>ROUND(7.28*2.5*0,0)</f>
        <v>0</v>
      </c>
      <c r="FI18" s="560"/>
      <c r="FJ18" s="561"/>
      <c r="FK18" s="693" t="s">
        <v>247</v>
      </c>
      <c r="FL18" s="684"/>
      <c r="FM18" s="580">
        <v>7.28</v>
      </c>
      <c r="FN18" s="685">
        <v>2.5</v>
      </c>
      <c r="FO18" s="686"/>
      <c r="FP18" s="689">
        <v>9</v>
      </c>
      <c r="FQ18" s="690">
        <v>6</v>
      </c>
      <c r="FR18" s="584">
        <f>ROUND(7.28*2.5*6,0)</f>
        <v>109</v>
      </c>
      <c r="FS18" s="691">
        <v>9</v>
      </c>
      <c r="FT18" s="690">
        <v>6.1</v>
      </c>
      <c r="FU18" s="589">
        <f>ROUND(7.28*2.5*6.1,0)</f>
        <v>111</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247</v>
      </c>
      <c r="C19" s="684"/>
      <c r="D19" s="580">
        <v>19.88</v>
      </c>
      <c r="E19" s="685">
        <v>2.5</v>
      </c>
      <c r="F19" s="686"/>
      <c r="G19" s="687">
        <v>0</v>
      </c>
      <c r="H19" s="584">
        <f>ROUND(19.88*2.5*0,0)</f>
        <v>0</v>
      </c>
      <c r="I19" s="688">
        <v>0</v>
      </c>
      <c r="J19" s="584">
        <f>ROUND(19.88*2.5*0,0)</f>
        <v>0</v>
      </c>
      <c r="K19" s="688">
        <v>0</v>
      </c>
      <c r="L19" s="584">
        <f>ROUND(19.88*2.5*0,0)</f>
        <v>0</v>
      </c>
      <c r="M19" s="688">
        <v>0</v>
      </c>
      <c r="N19" s="584">
        <f>ROUND(19.88*2.5*0,0)</f>
        <v>0</v>
      </c>
      <c r="O19" s="688">
        <v>0</v>
      </c>
      <c r="P19" s="584">
        <f>ROUND(19.88*2.5*0,0)</f>
        <v>0</v>
      </c>
      <c r="Q19" s="688">
        <v>0</v>
      </c>
      <c r="R19" s="584">
        <f>ROUND(19.88*2.5*0,0)</f>
        <v>0</v>
      </c>
      <c r="S19" s="688">
        <v>0</v>
      </c>
      <c r="T19" s="584">
        <f>ROUND(19.88*2.5*0,0)</f>
        <v>0</v>
      </c>
      <c r="U19" s="688">
        <v>0</v>
      </c>
      <c r="V19" s="584">
        <f>ROUND(19.88*2.5*0,0)</f>
        <v>0</v>
      </c>
      <c r="W19" s="688">
        <v>2.1</v>
      </c>
      <c r="X19" s="584">
        <f>ROUND(19.88*2.5*2.1,0)</f>
        <v>104</v>
      </c>
      <c r="Y19" s="688">
        <v>2.6</v>
      </c>
      <c r="Z19" s="584">
        <f>ROUND(19.88*2.5*2.6,0)</f>
        <v>129</v>
      </c>
      <c r="AA19" s="688">
        <v>2.9</v>
      </c>
      <c r="AB19" s="584">
        <f>ROUND(19.88*2.5*2.9,0)</f>
        <v>144</v>
      </c>
      <c r="AC19" s="688">
        <v>3.1</v>
      </c>
      <c r="AD19" s="584">
        <f>ROUND(19.88*2.5*3.1,0)</f>
        <v>154</v>
      </c>
      <c r="AE19" s="688">
        <v>3.2</v>
      </c>
      <c r="AF19" s="584">
        <f>ROUND(19.88*2.5*3.2,0)</f>
        <v>159</v>
      </c>
      <c r="AG19" s="688">
        <v>3.2</v>
      </c>
      <c r="AH19" s="584">
        <f>ROUND(19.88*2.5*3.2,0)</f>
        <v>159</v>
      </c>
      <c r="AI19" s="688">
        <v>3</v>
      </c>
      <c r="AJ19" s="584">
        <f>ROUND(19.88*2.5*3,0)</f>
        <v>149</v>
      </c>
      <c r="AK19" s="688">
        <v>2.8</v>
      </c>
      <c r="AL19" s="584">
        <f>ROUND(19.88*2.5*2.8,0)</f>
        <v>139</v>
      </c>
      <c r="AM19" s="688">
        <v>2.4</v>
      </c>
      <c r="AN19" s="584">
        <f>ROUND(19.88*2.5*2.4,0)</f>
        <v>119</v>
      </c>
      <c r="AO19" s="688">
        <v>2.1</v>
      </c>
      <c r="AP19" s="584">
        <f>ROUND(19.88*2.5*2.1,0)</f>
        <v>104</v>
      </c>
      <c r="AQ19" s="688">
        <v>0</v>
      </c>
      <c r="AR19" s="584">
        <f>ROUND(19.88*2.5*0,0)</f>
        <v>0</v>
      </c>
      <c r="AS19" s="688">
        <v>0</v>
      </c>
      <c r="AT19" s="584">
        <f>ROUND(19.88*2.5*0,0)</f>
        <v>0</v>
      </c>
      <c r="AU19" s="688">
        <v>0</v>
      </c>
      <c r="AV19" s="584">
        <f>ROUND(19.88*2.5*0,0)</f>
        <v>0</v>
      </c>
      <c r="AW19" s="688">
        <v>0</v>
      </c>
      <c r="AX19" s="584">
        <f>ROUND(19.88*2.5*0,0)</f>
        <v>0</v>
      </c>
      <c r="AY19" s="688">
        <v>0</v>
      </c>
      <c r="AZ19" s="584">
        <f>ROUND(19.88*2.5*0,0)</f>
        <v>0</v>
      </c>
      <c r="BA19" s="688">
        <v>0</v>
      </c>
      <c r="BB19" s="586">
        <f>ROUND(19.88*2.5*0,0)</f>
        <v>0</v>
      </c>
      <c r="BC19" s="559"/>
      <c r="BD19" s="549"/>
      <c r="BE19" s="693" t="s">
        <v>247</v>
      </c>
      <c r="BF19" s="684"/>
      <c r="BG19" s="580">
        <v>19.88</v>
      </c>
      <c r="BH19" s="685">
        <v>2.5</v>
      </c>
      <c r="BI19" s="686"/>
      <c r="BJ19" s="687">
        <v>0</v>
      </c>
      <c r="BK19" s="584">
        <f>ROUND(19.88*2.5*0,0)</f>
        <v>0</v>
      </c>
      <c r="BL19" s="688">
        <v>0</v>
      </c>
      <c r="BM19" s="584">
        <f>ROUND(19.88*2.5*0,0)</f>
        <v>0</v>
      </c>
      <c r="BN19" s="688">
        <v>0</v>
      </c>
      <c r="BO19" s="584">
        <f>ROUND(19.88*2.5*0,0)</f>
        <v>0</v>
      </c>
      <c r="BP19" s="688">
        <v>0</v>
      </c>
      <c r="BQ19" s="584">
        <f>ROUND(19.88*2.5*0,0)</f>
        <v>0</v>
      </c>
      <c r="BR19" s="688">
        <v>0</v>
      </c>
      <c r="BS19" s="584">
        <f>ROUND(19.88*2.5*0,0)</f>
        <v>0</v>
      </c>
      <c r="BT19" s="688">
        <v>0</v>
      </c>
      <c r="BU19" s="584">
        <f>ROUND(19.88*2.5*0,0)</f>
        <v>0</v>
      </c>
      <c r="BV19" s="688">
        <v>0</v>
      </c>
      <c r="BW19" s="584">
        <f>ROUND(19.88*2.5*0,0)</f>
        <v>0</v>
      </c>
      <c r="BX19" s="688">
        <v>0</v>
      </c>
      <c r="BY19" s="584">
        <f>ROUND(19.88*2.5*0,0)</f>
        <v>0</v>
      </c>
      <c r="BZ19" s="688">
        <v>2</v>
      </c>
      <c r="CA19" s="584">
        <f>ROUND(19.88*2.5*2,0)</f>
        <v>99</v>
      </c>
      <c r="CB19" s="688">
        <v>2.4</v>
      </c>
      <c r="CC19" s="584">
        <f>ROUND(19.88*2.5*2.4,0)</f>
        <v>119</v>
      </c>
      <c r="CD19" s="688">
        <v>2.8</v>
      </c>
      <c r="CE19" s="584">
        <f>ROUND(19.88*2.5*2.8,0)</f>
        <v>139</v>
      </c>
      <c r="CF19" s="688">
        <v>3</v>
      </c>
      <c r="CG19" s="584">
        <f>ROUND(19.88*2.5*3,0)</f>
        <v>149</v>
      </c>
      <c r="CH19" s="688">
        <v>3</v>
      </c>
      <c r="CI19" s="584">
        <f>ROUND(19.88*2.5*3,0)</f>
        <v>149</v>
      </c>
      <c r="CJ19" s="688">
        <v>3</v>
      </c>
      <c r="CK19" s="584">
        <f>ROUND(19.88*2.5*3,0)</f>
        <v>149</v>
      </c>
      <c r="CL19" s="688">
        <v>2.8</v>
      </c>
      <c r="CM19" s="584">
        <f>ROUND(19.88*2.5*2.8,0)</f>
        <v>139</v>
      </c>
      <c r="CN19" s="688">
        <v>2.6</v>
      </c>
      <c r="CO19" s="584">
        <f>ROUND(19.88*2.5*2.6,0)</f>
        <v>129</v>
      </c>
      <c r="CP19" s="688">
        <v>2.4</v>
      </c>
      <c r="CQ19" s="584">
        <f>ROUND(19.88*2.5*2.4,0)</f>
        <v>119</v>
      </c>
      <c r="CR19" s="688">
        <v>2</v>
      </c>
      <c r="CS19" s="584">
        <f>ROUND(19.88*2.5*2,0)</f>
        <v>99</v>
      </c>
      <c r="CT19" s="688">
        <v>0</v>
      </c>
      <c r="CU19" s="584">
        <f>ROUND(19.88*2.5*0,0)</f>
        <v>0</v>
      </c>
      <c r="CV19" s="688">
        <v>0</v>
      </c>
      <c r="CW19" s="584">
        <f>ROUND(19.88*2.5*0,0)</f>
        <v>0</v>
      </c>
      <c r="CX19" s="688">
        <v>0</v>
      </c>
      <c r="CY19" s="584">
        <f>ROUND(19.88*2.5*0,0)</f>
        <v>0</v>
      </c>
      <c r="CZ19" s="688">
        <v>0</v>
      </c>
      <c r="DA19" s="584">
        <f>ROUND(19.88*2.5*0,0)</f>
        <v>0</v>
      </c>
      <c r="DB19" s="688">
        <v>0</v>
      </c>
      <c r="DC19" s="584">
        <f>ROUND(19.88*2.5*0,0)</f>
        <v>0</v>
      </c>
      <c r="DD19" s="688">
        <v>0</v>
      </c>
      <c r="DE19" s="586">
        <f>ROUND(19.88*2.5*0,0)</f>
        <v>0</v>
      </c>
      <c r="DF19" s="559"/>
      <c r="DG19" s="549"/>
      <c r="DH19" s="693" t="s">
        <v>247</v>
      </c>
      <c r="DI19" s="684"/>
      <c r="DJ19" s="580">
        <v>19.88</v>
      </c>
      <c r="DK19" s="685">
        <v>2.5</v>
      </c>
      <c r="DL19" s="686"/>
      <c r="DM19" s="687">
        <v>0</v>
      </c>
      <c r="DN19" s="584">
        <f>ROUND(19.88*2.5*0,0)</f>
        <v>0</v>
      </c>
      <c r="DO19" s="688">
        <v>0</v>
      </c>
      <c r="DP19" s="584">
        <f>ROUND(19.88*2.5*0,0)</f>
        <v>0</v>
      </c>
      <c r="DQ19" s="688">
        <v>0</v>
      </c>
      <c r="DR19" s="584">
        <f>ROUND(19.88*2.5*0,0)</f>
        <v>0</v>
      </c>
      <c r="DS19" s="688">
        <v>0</v>
      </c>
      <c r="DT19" s="584">
        <f>ROUND(19.88*2.5*0,0)</f>
        <v>0</v>
      </c>
      <c r="DU19" s="688">
        <v>0</v>
      </c>
      <c r="DV19" s="584">
        <f>ROUND(19.88*2.5*0,0)</f>
        <v>0</v>
      </c>
      <c r="DW19" s="688">
        <v>0</v>
      </c>
      <c r="DX19" s="584">
        <f>ROUND(19.88*2.5*0,0)</f>
        <v>0</v>
      </c>
      <c r="DY19" s="688">
        <v>0</v>
      </c>
      <c r="DZ19" s="584">
        <f>ROUND(19.88*2.5*0,0)</f>
        <v>0</v>
      </c>
      <c r="EA19" s="688">
        <v>0</v>
      </c>
      <c r="EB19" s="584">
        <f>ROUND(19.88*2.5*0,0)</f>
        <v>0</v>
      </c>
      <c r="EC19" s="688">
        <v>1.1000000000000001</v>
      </c>
      <c r="ED19" s="584">
        <f>ROUND(19.88*2.5*1.1,0)</f>
        <v>55</v>
      </c>
      <c r="EE19" s="688">
        <v>1.6</v>
      </c>
      <c r="EF19" s="584">
        <f>ROUND(19.88*2.5*1.6,0)</f>
        <v>80</v>
      </c>
      <c r="EG19" s="688">
        <v>2</v>
      </c>
      <c r="EH19" s="584">
        <f>ROUND(19.88*2.5*2,0)</f>
        <v>99</v>
      </c>
      <c r="EI19" s="688">
        <v>2.2000000000000002</v>
      </c>
      <c r="EJ19" s="584">
        <f>ROUND(19.88*2.5*2.2,0)</f>
        <v>109</v>
      </c>
      <c r="EK19" s="688">
        <v>2.2999999999999998</v>
      </c>
      <c r="EL19" s="584">
        <f>ROUND(19.88*2.5*2.3,0)</f>
        <v>114</v>
      </c>
      <c r="EM19" s="688">
        <v>2.2000000000000002</v>
      </c>
      <c r="EN19" s="584">
        <f>ROUND(19.88*2.5*2.2,0)</f>
        <v>109</v>
      </c>
      <c r="EO19" s="688">
        <v>2</v>
      </c>
      <c r="EP19" s="584">
        <f>ROUND(19.88*2.5*2,0)</f>
        <v>99</v>
      </c>
      <c r="EQ19" s="688">
        <v>1.9</v>
      </c>
      <c r="ER19" s="584">
        <f>ROUND(19.88*2.5*1.9,0)</f>
        <v>94</v>
      </c>
      <c r="ES19" s="688">
        <v>1.5</v>
      </c>
      <c r="ET19" s="584">
        <f>ROUND(19.88*2.5*1.5,0)</f>
        <v>75</v>
      </c>
      <c r="EU19" s="688">
        <v>1.1000000000000001</v>
      </c>
      <c r="EV19" s="584">
        <f>ROUND(19.88*2.5*1.1,0)</f>
        <v>55</v>
      </c>
      <c r="EW19" s="688">
        <v>0</v>
      </c>
      <c r="EX19" s="584">
        <f>ROUND(19.88*2.5*0,0)</f>
        <v>0</v>
      </c>
      <c r="EY19" s="688">
        <v>0</v>
      </c>
      <c r="EZ19" s="584">
        <f>ROUND(19.88*2.5*0,0)</f>
        <v>0</v>
      </c>
      <c r="FA19" s="688">
        <v>0</v>
      </c>
      <c r="FB19" s="584">
        <f>ROUND(19.88*2.5*0,0)</f>
        <v>0</v>
      </c>
      <c r="FC19" s="688">
        <v>0</v>
      </c>
      <c r="FD19" s="584">
        <f>ROUND(19.88*2.5*0,0)</f>
        <v>0</v>
      </c>
      <c r="FE19" s="688">
        <v>0</v>
      </c>
      <c r="FF19" s="584">
        <f>ROUND(19.88*2.5*0,0)</f>
        <v>0</v>
      </c>
      <c r="FG19" s="688">
        <v>0</v>
      </c>
      <c r="FH19" s="586">
        <f>ROUND(19.88*2.5*0,0)</f>
        <v>0</v>
      </c>
      <c r="FI19" s="560"/>
      <c r="FJ19" s="561"/>
      <c r="FK19" s="693" t="s">
        <v>247</v>
      </c>
      <c r="FL19" s="684"/>
      <c r="FM19" s="580">
        <v>19.88</v>
      </c>
      <c r="FN19" s="685">
        <v>2.5</v>
      </c>
      <c r="FO19" s="686"/>
      <c r="FP19" s="689">
        <v>9</v>
      </c>
      <c r="FQ19" s="690">
        <v>8</v>
      </c>
      <c r="FR19" s="584">
        <f>ROUND(19.88*2.5*8,0)</f>
        <v>398</v>
      </c>
      <c r="FS19" s="691">
        <v>9</v>
      </c>
      <c r="FT19" s="690">
        <v>8.1999999999999993</v>
      </c>
      <c r="FU19" s="589">
        <f>ROUND(19.88*2.5*8.2,0)</f>
        <v>408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247</v>
      </c>
      <c r="C20" s="684"/>
      <c r="D20" s="580">
        <v>14.42</v>
      </c>
      <c r="E20" s="685">
        <v>2.5</v>
      </c>
      <c r="F20" s="686"/>
      <c r="G20" s="687">
        <v>0</v>
      </c>
      <c r="H20" s="584">
        <f>ROUND(14.42*2.5*0,0)</f>
        <v>0</v>
      </c>
      <c r="I20" s="688">
        <v>0</v>
      </c>
      <c r="J20" s="584">
        <f>ROUND(14.42*2.5*0,0)</f>
        <v>0</v>
      </c>
      <c r="K20" s="688">
        <v>0</v>
      </c>
      <c r="L20" s="584">
        <f>ROUND(14.42*2.5*0,0)</f>
        <v>0</v>
      </c>
      <c r="M20" s="688">
        <v>0</v>
      </c>
      <c r="N20" s="584">
        <f>ROUND(14.42*2.5*0,0)</f>
        <v>0</v>
      </c>
      <c r="O20" s="688">
        <v>0</v>
      </c>
      <c r="P20" s="584">
        <f>ROUND(14.42*2.5*0,0)</f>
        <v>0</v>
      </c>
      <c r="Q20" s="688">
        <v>0</v>
      </c>
      <c r="R20" s="584">
        <f>ROUND(14.42*2.5*0,0)</f>
        <v>0</v>
      </c>
      <c r="S20" s="688">
        <v>0</v>
      </c>
      <c r="T20" s="584">
        <f>ROUND(14.42*2.5*0,0)</f>
        <v>0</v>
      </c>
      <c r="U20" s="688">
        <v>0</v>
      </c>
      <c r="V20" s="584">
        <f>ROUND(14.42*2.5*0,0)</f>
        <v>0</v>
      </c>
      <c r="W20" s="688">
        <v>2.1</v>
      </c>
      <c r="X20" s="584">
        <f>ROUND(14.42*2.5*2.1,0)</f>
        <v>76</v>
      </c>
      <c r="Y20" s="688">
        <v>2.6</v>
      </c>
      <c r="Z20" s="584">
        <f>ROUND(14.42*2.5*2.6,0)</f>
        <v>94</v>
      </c>
      <c r="AA20" s="688">
        <v>2.9</v>
      </c>
      <c r="AB20" s="584">
        <f>ROUND(14.42*2.5*2.9,0)</f>
        <v>105</v>
      </c>
      <c r="AC20" s="688">
        <v>3.1</v>
      </c>
      <c r="AD20" s="584">
        <f>ROUND(14.42*2.5*3.1,0)</f>
        <v>112</v>
      </c>
      <c r="AE20" s="688">
        <v>3.2</v>
      </c>
      <c r="AF20" s="584">
        <f>ROUND(14.42*2.5*3.2,0)</f>
        <v>115</v>
      </c>
      <c r="AG20" s="688">
        <v>3.2</v>
      </c>
      <c r="AH20" s="584">
        <f>ROUND(14.42*2.5*3.2,0)</f>
        <v>115</v>
      </c>
      <c r="AI20" s="688">
        <v>3</v>
      </c>
      <c r="AJ20" s="584">
        <f>ROUND(14.42*2.5*3,0)</f>
        <v>108</v>
      </c>
      <c r="AK20" s="688">
        <v>2.8</v>
      </c>
      <c r="AL20" s="584">
        <f>ROUND(14.42*2.5*2.8,0)</f>
        <v>101</v>
      </c>
      <c r="AM20" s="688">
        <v>2.4</v>
      </c>
      <c r="AN20" s="584">
        <f>ROUND(14.42*2.5*2.4,0)</f>
        <v>87</v>
      </c>
      <c r="AO20" s="688">
        <v>2.1</v>
      </c>
      <c r="AP20" s="584">
        <f>ROUND(14.42*2.5*2.1,0)</f>
        <v>76</v>
      </c>
      <c r="AQ20" s="688">
        <v>0</v>
      </c>
      <c r="AR20" s="584">
        <f>ROUND(14.42*2.5*0,0)</f>
        <v>0</v>
      </c>
      <c r="AS20" s="688">
        <v>0</v>
      </c>
      <c r="AT20" s="584">
        <f>ROUND(14.42*2.5*0,0)</f>
        <v>0</v>
      </c>
      <c r="AU20" s="688">
        <v>0</v>
      </c>
      <c r="AV20" s="584">
        <f>ROUND(14.42*2.5*0,0)</f>
        <v>0</v>
      </c>
      <c r="AW20" s="688">
        <v>0</v>
      </c>
      <c r="AX20" s="584">
        <f>ROUND(14.42*2.5*0,0)</f>
        <v>0</v>
      </c>
      <c r="AY20" s="688">
        <v>0</v>
      </c>
      <c r="AZ20" s="584">
        <f>ROUND(14.42*2.5*0,0)</f>
        <v>0</v>
      </c>
      <c r="BA20" s="688">
        <v>0</v>
      </c>
      <c r="BB20" s="586">
        <f>ROUND(14.42*2.5*0,0)</f>
        <v>0</v>
      </c>
      <c r="BC20" s="559"/>
      <c r="BD20" s="549"/>
      <c r="BE20" s="693" t="s">
        <v>247</v>
      </c>
      <c r="BF20" s="684"/>
      <c r="BG20" s="580">
        <v>14.42</v>
      </c>
      <c r="BH20" s="685">
        <v>2.5</v>
      </c>
      <c r="BI20" s="686"/>
      <c r="BJ20" s="687">
        <v>0</v>
      </c>
      <c r="BK20" s="584">
        <f>ROUND(14.42*2.5*0,0)</f>
        <v>0</v>
      </c>
      <c r="BL20" s="688">
        <v>0</v>
      </c>
      <c r="BM20" s="584">
        <f>ROUND(14.42*2.5*0,0)</f>
        <v>0</v>
      </c>
      <c r="BN20" s="688">
        <v>0</v>
      </c>
      <c r="BO20" s="584">
        <f>ROUND(14.42*2.5*0,0)</f>
        <v>0</v>
      </c>
      <c r="BP20" s="688">
        <v>0</v>
      </c>
      <c r="BQ20" s="584">
        <f>ROUND(14.42*2.5*0,0)</f>
        <v>0</v>
      </c>
      <c r="BR20" s="688">
        <v>0</v>
      </c>
      <c r="BS20" s="584">
        <f>ROUND(14.42*2.5*0,0)</f>
        <v>0</v>
      </c>
      <c r="BT20" s="688">
        <v>0</v>
      </c>
      <c r="BU20" s="584">
        <f>ROUND(14.42*2.5*0,0)</f>
        <v>0</v>
      </c>
      <c r="BV20" s="688">
        <v>0</v>
      </c>
      <c r="BW20" s="584">
        <f>ROUND(14.42*2.5*0,0)</f>
        <v>0</v>
      </c>
      <c r="BX20" s="688">
        <v>0</v>
      </c>
      <c r="BY20" s="584">
        <f>ROUND(14.42*2.5*0,0)</f>
        <v>0</v>
      </c>
      <c r="BZ20" s="688">
        <v>2</v>
      </c>
      <c r="CA20" s="584">
        <f>ROUND(14.42*2.5*2,0)</f>
        <v>72</v>
      </c>
      <c r="CB20" s="688">
        <v>2.4</v>
      </c>
      <c r="CC20" s="584">
        <f>ROUND(14.42*2.5*2.4,0)</f>
        <v>87</v>
      </c>
      <c r="CD20" s="688">
        <v>2.8</v>
      </c>
      <c r="CE20" s="584">
        <f>ROUND(14.42*2.5*2.8,0)</f>
        <v>101</v>
      </c>
      <c r="CF20" s="688">
        <v>3</v>
      </c>
      <c r="CG20" s="584">
        <f>ROUND(14.42*2.5*3,0)</f>
        <v>108</v>
      </c>
      <c r="CH20" s="688">
        <v>3</v>
      </c>
      <c r="CI20" s="584">
        <f>ROUND(14.42*2.5*3,0)</f>
        <v>108</v>
      </c>
      <c r="CJ20" s="688">
        <v>3</v>
      </c>
      <c r="CK20" s="584">
        <f>ROUND(14.42*2.5*3,0)</f>
        <v>108</v>
      </c>
      <c r="CL20" s="688">
        <v>2.8</v>
      </c>
      <c r="CM20" s="584">
        <f>ROUND(14.42*2.5*2.8,0)</f>
        <v>101</v>
      </c>
      <c r="CN20" s="688">
        <v>2.6</v>
      </c>
      <c r="CO20" s="584">
        <f>ROUND(14.42*2.5*2.6,0)</f>
        <v>94</v>
      </c>
      <c r="CP20" s="688">
        <v>2.4</v>
      </c>
      <c r="CQ20" s="584">
        <f>ROUND(14.42*2.5*2.4,0)</f>
        <v>87</v>
      </c>
      <c r="CR20" s="688">
        <v>2</v>
      </c>
      <c r="CS20" s="584">
        <f>ROUND(14.42*2.5*2,0)</f>
        <v>72</v>
      </c>
      <c r="CT20" s="688">
        <v>0</v>
      </c>
      <c r="CU20" s="584">
        <f>ROUND(14.42*2.5*0,0)</f>
        <v>0</v>
      </c>
      <c r="CV20" s="688">
        <v>0</v>
      </c>
      <c r="CW20" s="584">
        <f>ROUND(14.42*2.5*0,0)</f>
        <v>0</v>
      </c>
      <c r="CX20" s="688">
        <v>0</v>
      </c>
      <c r="CY20" s="584">
        <f>ROUND(14.42*2.5*0,0)</f>
        <v>0</v>
      </c>
      <c r="CZ20" s="688">
        <v>0</v>
      </c>
      <c r="DA20" s="584">
        <f>ROUND(14.42*2.5*0,0)</f>
        <v>0</v>
      </c>
      <c r="DB20" s="688">
        <v>0</v>
      </c>
      <c r="DC20" s="584">
        <f>ROUND(14.42*2.5*0,0)</f>
        <v>0</v>
      </c>
      <c r="DD20" s="688">
        <v>0</v>
      </c>
      <c r="DE20" s="586">
        <f>ROUND(14.42*2.5*0,0)</f>
        <v>0</v>
      </c>
      <c r="DF20" s="559"/>
      <c r="DG20" s="549"/>
      <c r="DH20" s="693" t="s">
        <v>247</v>
      </c>
      <c r="DI20" s="684"/>
      <c r="DJ20" s="580">
        <v>14.42</v>
      </c>
      <c r="DK20" s="685">
        <v>2.5</v>
      </c>
      <c r="DL20" s="686"/>
      <c r="DM20" s="687">
        <v>0</v>
      </c>
      <c r="DN20" s="584">
        <f>ROUND(14.42*2.5*0,0)</f>
        <v>0</v>
      </c>
      <c r="DO20" s="688">
        <v>0</v>
      </c>
      <c r="DP20" s="584">
        <f>ROUND(14.42*2.5*0,0)</f>
        <v>0</v>
      </c>
      <c r="DQ20" s="688">
        <v>0</v>
      </c>
      <c r="DR20" s="584">
        <f>ROUND(14.42*2.5*0,0)</f>
        <v>0</v>
      </c>
      <c r="DS20" s="688">
        <v>0</v>
      </c>
      <c r="DT20" s="584">
        <f>ROUND(14.42*2.5*0,0)</f>
        <v>0</v>
      </c>
      <c r="DU20" s="688">
        <v>0</v>
      </c>
      <c r="DV20" s="584">
        <f>ROUND(14.42*2.5*0,0)</f>
        <v>0</v>
      </c>
      <c r="DW20" s="688">
        <v>0</v>
      </c>
      <c r="DX20" s="584">
        <f>ROUND(14.42*2.5*0,0)</f>
        <v>0</v>
      </c>
      <c r="DY20" s="688">
        <v>0</v>
      </c>
      <c r="DZ20" s="584">
        <f>ROUND(14.42*2.5*0,0)</f>
        <v>0</v>
      </c>
      <c r="EA20" s="688">
        <v>0</v>
      </c>
      <c r="EB20" s="584">
        <f>ROUND(14.42*2.5*0,0)</f>
        <v>0</v>
      </c>
      <c r="EC20" s="688">
        <v>1.1000000000000001</v>
      </c>
      <c r="ED20" s="584">
        <f>ROUND(14.42*2.5*1.1,0)</f>
        <v>40</v>
      </c>
      <c r="EE20" s="688">
        <v>1.6</v>
      </c>
      <c r="EF20" s="584">
        <f>ROUND(14.42*2.5*1.6,0)</f>
        <v>58</v>
      </c>
      <c r="EG20" s="688">
        <v>2</v>
      </c>
      <c r="EH20" s="584">
        <f>ROUND(14.42*2.5*2,0)</f>
        <v>72</v>
      </c>
      <c r="EI20" s="688">
        <v>2.2000000000000002</v>
      </c>
      <c r="EJ20" s="584">
        <f>ROUND(14.42*2.5*2.2,0)</f>
        <v>79</v>
      </c>
      <c r="EK20" s="688">
        <v>2.2999999999999998</v>
      </c>
      <c r="EL20" s="584">
        <f>ROUND(14.42*2.5*2.3,0)</f>
        <v>83</v>
      </c>
      <c r="EM20" s="688">
        <v>2.2000000000000002</v>
      </c>
      <c r="EN20" s="584">
        <f>ROUND(14.42*2.5*2.2,0)</f>
        <v>79</v>
      </c>
      <c r="EO20" s="688">
        <v>2</v>
      </c>
      <c r="EP20" s="584">
        <f>ROUND(14.42*2.5*2,0)</f>
        <v>72</v>
      </c>
      <c r="EQ20" s="688">
        <v>1.9</v>
      </c>
      <c r="ER20" s="584">
        <f>ROUND(14.42*2.5*1.9,0)</f>
        <v>68</v>
      </c>
      <c r="ES20" s="688">
        <v>1.5</v>
      </c>
      <c r="ET20" s="584">
        <f>ROUND(14.42*2.5*1.5,0)</f>
        <v>54</v>
      </c>
      <c r="EU20" s="688">
        <v>1.1000000000000001</v>
      </c>
      <c r="EV20" s="584">
        <f>ROUND(14.42*2.5*1.1,0)</f>
        <v>40</v>
      </c>
      <c r="EW20" s="688">
        <v>0</v>
      </c>
      <c r="EX20" s="584">
        <f>ROUND(14.42*2.5*0,0)</f>
        <v>0</v>
      </c>
      <c r="EY20" s="688">
        <v>0</v>
      </c>
      <c r="EZ20" s="584">
        <f>ROUND(14.42*2.5*0,0)</f>
        <v>0</v>
      </c>
      <c r="FA20" s="688">
        <v>0</v>
      </c>
      <c r="FB20" s="584">
        <f>ROUND(14.42*2.5*0,0)</f>
        <v>0</v>
      </c>
      <c r="FC20" s="688">
        <v>0</v>
      </c>
      <c r="FD20" s="584">
        <f>ROUND(14.42*2.5*0,0)</f>
        <v>0</v>
      </c>
      <c r="FE20" s="688">
        <v>0</v>
      </c>
      <c r="FF20" s="584">
        <f>ROUND(14.42*2.5*0,0)</f>
        <v>0</v>
      </c>
      <c r="FG20" s="688">
        <v>0</v>
      </c>
      <c r="FH20" s="586">
        <f>ROUND(14.42*2.5*0,0)</f>
        <v>0</v>
      </c>
      <c r="FI20" s="560"/>
      <c r="FJ20" s="561"/>
      <c r="FK20" s="693" t="s">
        <v>247</v>
      </c>
      <c r="FL20" s="684"/>
      <c r="FM20" s="580">
        <v>14.42</v>
      </c>
      <c r="FN20" s="685">
        <v>2.5</v>
      </c>
      <c r="FO20" s="686"/>
      <c r="FP20" s="689">
        <v>9</v>
      </c>
      <c r="FQ20" s="690">
        <v>8</v>
      </c>
      <c r="FR20" s="584">
        <f>ROUND(14.42*2.5*8,0)</f>
        <v>288</v>
      </c>
      <c r="FS20" s="691">
        <v>9</v>
      </c>
      <c r="FT20" s="690">
        <v>8.1999999999999993</v>
      </c>
      <c r="FU20" s="589">
        <f>ROUND(14.42*2.5*8.2,0)</f>
        <v>296</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235</v>
      </c>
      <c r="C21" s="684"/>
      <c r="D21" s="580">
        <v>54.8</v>
      </c>
      <c r="E21" s="685">
        <v>0.5</v>
      </c>
      <c r="F21" s="686"/>
      <c r="G21" s="687">
        <v>0</v>
      </c>
      <c r="H21" s="584">
        <f>ROUND(54.8*0.5*0,0)</f>
        <v>0</v>
      </c>
      <c r="I21" s="688">
        <v>0</v>
      </c>
      <c r="J21" s="584">
        <f>ROUND(54.8*0.5*0,0)</f>
        <v>0</v>
      </c>
      <c r="K21" s="688">
        <v>0</v>
      </c>
      <c r="L21" s="584">
        <f>ROUND(54.8*0.5*0,0)</f>
        <v>0</v>
      </c>
      <c r="M21" s="688">
        <v>0</v>
      </c>
      <c r="N21" s="584">
        <f>ROUND(54.8*0.5*0,0)</f>
        <v>0</v>
      </c>
      <c r="O21" s="688">
        <v>0</v>
      </c>
      <c r="P21" s="584">
        <f>ROUND(54.8*0.5*0,0)</f>
        <v>0</v>
      </c>
      <c r="Q21" s="688">
        <v>0</v>
      </c>
      <c r="R21" s="584">
        <f>ROUND(54.8*0.5*0,0)</f>
        <v>0</v>
      </c>
      <c r="S21" s="688">
        <v>0</v>
      </c>
      <c r="T21" s="584">
        <f>ROUND(54.8*0.5*0,0)</f>
        <v>0</v>
      </c>
      <c r="U21" s="688">
        <v>0</v>
      </c>
      <c r="V21" s="584">
        <f>ROUND(54.8*0.5*0,0)</f>
        <v>0</v>
      </c>
      <c r="W21" s="688">
        <v>5.3</v>
      </c>
      <c r="X21" s="584">
        <f>ROUND(54.8*0.5*5.3,0)</f>
        <v>145</v>
      </c>
      <c r="Y21" s="688">
        <v>5.2</v>
      </c>
      <c r="Z21" s="584">
        <f>ROUND(54.8*0.5*5.2,0)</f>
        <v>142</v>
      </c>
      <c r="AA21" s="688">
        <v>5.2</v>
      </c>
      <c r="AB21" s="584">
        <f>ROUND(54.8*0.5*5.2,0)</f>
        <v>142</v>
      </c>
      <c r="AC21" s="688">
        <v>5.3</v>
      </c>
      <c r="AD21" s="584">
        <f>ROUND(54.8*0.5*5.3,0)</f>
        <v>145</v>
      </c>
      <c r="AE21" s="688">
        <v>5.7</v>
      </c>
      <c r="AF21" s="584">
        <f>ROUND(54.8*0.5*5.7,0)</f>
        <v>156</v>
      </c>
      <c r="AG21" s="688">
        <v>6.3</v>
      </c>
      <c r="AH21" s="584">
        <f>ROUND(54.8*0.5*6.3,0)</f>
        <v>173</v>
      </c>
      <c r="AI21" s="688">
        <v>7</v>
      </c>
      <c r="AJ21" s="584">
        <f>ROUND(54.8*0.5*7,0)</f>
        <v>192</v>
      </c>
      <c r="AK21" s="688">
        <v>7.8</v>
      </c>
      <c r="AL21" s="584">
        <f>ROUND(54.8*0.5*7.8,0)</f>
        <v>214</v>
      </c>
      <c r="AM21" s="688">
        <v>8.6</v>
      </c>
      <c r="AN21" s="584">
        <f>ROUND(54.8*0.5*8.6,0)</f>
        <v>236</v>
      </c>
      <c r="AO21" s="688">
        <v>9.4</v>
      </c>
      <c r="AP21" s="584">
        <f>ROUND(54.8*0.5*9.4,0)</f>
        <v>258</v>
      </c>
      <c r="AQ21" s="688">
        <v>0</v>
      </c>
      <c r="AR21" s="584">
        <f>ROUND(54.8*0.5*0,0)</f>
        <v>0</v>
      </c>
      <c r="AS21" s="688">
        <v>0</v>
      </c>
      <c r="AT21" s="584">
        <f>ROUND(54.8*0.5*0,0)</f>
        <v>0</v>
      </c>
      <c r="AU21" s="688">
        <v>0</v>
      </c>
      <c r="AV21" s="584">
        <f>ROUND(54.8*0.5*0,0)</f>
        <v>0</v>
      </c>
      <c r="AW21" s="688">
        <v>0</v>
      </c>
      <c r="AX21" s="584">
        <f>ROUND(54.8*0.5*0,0)</f>
        <v>0</v>
      </c>
      <c r="AY21" s="688">
        <v>0</v>
      </c>
      <c r="AZ21" s="584">
        <f>ROUND(54.8*0.5*0,0)</f>
        <v>0</v>
      </c>
      <c r="BA21" s="688">
        <v>0</v>
      </c>
      <c r="BB21" s="586">
        <f>ROUND(54.8*0.5*0,0)</f>
        <v>0</v>
      </c>
      <c r="BC21" s="559"/>
      <c r="BD21" s="549"/>
      <c r="BE21" s="693" t="s">
        <v>235</v>
      </c>
      <c r="BF21" s="684"/>
      <c r="BG21" s="580">
        <v>54.8</v>
      </c>
      <c r="BH21" s="685">
        <v>0.5</v>
      </c>
      <c r="BI21" s="686"/>
      <c r="BJ21" s="687">
        <v>0</v>
      </c>
      <c r="BK21" s="584">
        <f>ROUND(54.8*0.5*0,0)</f>
        <v>0</v>
      </c>
      <c r="BL21" s="688">
        <v>0</v>
      </c>
      <c r="BM21" s="584">
        <f>ROUND(54.8*0.5*0,0)</f>
        <v>0</v>
      </c>
      <c r="BN21" s="688">
        <v>0</v>
      </c>
      <c r="BO21" s="584">
        <f>ROUND(54.8*0.5*0,0)</f>
        <v>0</v>
      </c>
      <c r="BP21" s="688">
        <v>0</v>
      </c>
      <c r="BQ21" s="584">
        <f>ROUND(54.8*0.5*0,0)</f>
        <v>0</v>
      </c>
      <c r="BR21" s="688">
        <v>0</v>
      </c>
      <c r="BS21" s="584">
        <f>ROUND(54.8*0.5*0,0)</f>
        <v>0</v>
      </c>
      <c r="BT21" s="688">
        <v>0</v>
      </c>
      <c r="BU21" s="584">
        <f>ROUND(54.8*0.5*0,0)</f>
        <v>0</v>
      </c>
      <c r="BV21" s="688">
        <v>0</v>
      </c>
      <c r="BW21" s="584">
        <f>ROUND(54.8*0.5*0,0)</f>
        <v>0</v>
      </c>
      <c r="BX21" s="688">
        <v>0</v>
      </c>
      <c r="BY21" s="584">
        <f>ROUND(54.8*0.5*0,0)</f>
        <v>0</v>
      </c>
      <c r="BZ21" s="688">
        <v>5.2</v>
      </c>
      <c r="CA21" s="584">
        <f>ROUND(54.8*0.5*5.2,0)</f>
        <v>142</v>
      </c>
      <c r="CB21" s="688">
        <v>5</v>
      </c>
      <c r="CC21" s="584">
        <f>ROUND(54.8*0.5*5,0)</f>
        <v>137</v>
      </c>
      <c r="CD21" s="688">
        <v>5</v>
      </c>
      <c r="CE21" s="584">
        <f>ROUND(54.8*0.5*5,0)</f>
        <v>137</v>
      </c>
      <c r="CF21" s="688">
        <v>5.0999999999999996</v>
      </c>
      <c r="CG21" s="584">
        <f>ROUND(54.8*0.5*5.1,0)</f>
        <v>140</v>
      </c>
      <c r="CH21" s="688">
        <v>5.4</v>
      </c>
      <c r="CI21" s="584">
        <f>ROUND(54.8*0.5*5.4,0)</f>
        <v>148</v>
      </c>
      <c r="CJ21" s="688">
        <v>6</v>
      </c>
      <c r="CK21" s="584">
        <f>ROUND(54.8*0.5*6,0)</f>
        <v>164</v>
      </c>
      <c r="CL21" s="688">
        <v>6.8</v>
      </c>
      <c r="CM21" s="584">
        <f>ROUND(54.8*0.5*6.8,0)</f>
        <v>186</v>
      </c>
      <c r="CN21" s="688">
        <v>7.8</v>
      </c>
      <c r="CO21" s="584">
        <f>ROUND(54.8*0.5*7.8,0)</f>
        <v>214</v>
      </c>
      <c r="CP21" s="688">
        <v>8.6999999999999993</v>
      </c>
      <c r="CQ21" s="584">
        <f>ROUND(54.8*0.5*8.7,0)</f>
        <v>238</v>
      </c>
      <c r="CR21" s="688">
        <v>9.6</v>
      </c>
      <c r="CS21" s="584">
        <f>ROUND(54.8*0.5*9.6,0)</f>
        <v>263</v>
      </c>
      <c r="CT21" s="688">
        <v>0</v>
      </c>
      <c r="CU21" s="584">
        <f>ROUND(54.8*0.5*0,0)</f>
        <v>0</v>
      </c>
      <c r="CV21" s="688">
        <v>0</v>
      </c>
      <c r="CW21" s="584">
        <f>ROUND(54.8*0.5*0,0)</f>
        <v>0</v>
      </c>
      <c r="CX21" s="688">
        <v>0</v>
      </c>
      <c r="CY21" s="584">
        <f>ROUND(54.8*0.5*0,0)</f>
        <v>0</v>
      </c>
      <c r="CZ21" s="688">
        <v>0</v>
      </c>
      <c r="DA21" s="584">
        <f>ROUND(54.8*0.5*0,0)</f>
        <v>0</v>
      </c>
      <c r="DB21" s="688">
        <v>0</v>
      </c>
      <c r="DC21" s="584">
        <f>ROUND(54.8*0.5*0,0)</f>
        <v>0</v>
      </c>
      <c r="DD21" s="688">
        <v>0</v>
      </c>
      <c r="DE21" s="586">
        <f>ROUND(54.8*0.5*0,0)</f>
        <v>0</v>
      </c>
      <c r="DF21" s="559"/>
      <c r="DG21" s="549"/>
      <c r="DH21" s="693" t="s">
        <v>235</v>
      </c>
      <c r="DI21" s="684"/>
      <c r="DJ21" s="580">
        <v>54.8</v>
      </c>
      <c r="DK21" s="685">
        <v>0.5</v>
      </c>
      <c r="DL21" s="686"/>
      <c r="DM21" s="687">
        <v>0</v>
      </c>
      <c r="DN21" s="584">
        <f>ROUND(54.8*0.5*0,0)</f>
        <v>0</v>
      </c>
      <c r="DO21" s="688">
        <v>0</v>
      </c>
      <c r="DP21" s="584">
        <f>ROUND(54.8*0.5*0,0)</f>
        <v>0</v>
      </c>
      <c r="DQ21" s="688">
        <v>0</v>
      </c>
      <c r="DR21" s="584">
        <f>ROUND(54.8*0.5*0,0)</f>
        <v>0</v>
      </c>
      <c r="DS21" s="688">
        <v>0</v>
      </c>
      <c r="DT21" s="584">
        <f>ROUND(54.8*0.5*0,0)</f>
        <v>0</v>
      </c>
      <c r="DU21" s="688">
        <v>0</v>
      </c>
      <c r="DV21" s="584">
        <f>ROUND(54.8*0.5*0,0)</f>
        <v>0</v>
      </c>
      <c r="DW21" s="688">
        <v>0</v>
      </c>
      <c r="DX21" s="584">
        <f>ROUND(54.8*0.5*0,0)</f>
        <v>0</v>
      </c>
      <c r="DY21" s="688">
        <v>0</v>
      </c>
      <c r="DZ21" s="584">
        <f>ROUND(54.8*0.5*0,0)</f>
        <v>0</v>
      </c>
      <c r="EA21" s="688">
        <v>0</v>
      </c>
      <c r="EB21" s="584">
        <f>ROUND(54.8*0.5*0,0)</f>
        <v>0</v>
      </c>
      <c r="EC21" s="688">
        <v>3.8</v>
      </c>
      <c r="ED21" s="584">
        <f>ROUND(54.8*0.5*3.8,0)</f>
        <v>104</v>
      </c>
      <c r="EE21" s="688">
        <v>3.5</v>
      </c>
      <c r="EF21" s="584">
        <f>ROUND(54.8*0.5*3.5,0)</f>
        <v>96</v>
      </c>
      <c r="EG21" s="688">
        <v>3.4</v>
      </c>
      <c r="EH21" s="584">
        <f>ROUND(54.8*0.5*3.4,0)</f>
        <v>93</v>
      </c>
      <c r="EI21" s="688">
        <v>3.6</v>
      </c>
      <c r="EJ21" s="584">
        <f>ROUND(54.8*0.5*3.6,0)</f>
        <v>99</v>
      </c>
      <c r="EK21" s="688">
        <v>4.0999999999999996</v>
      </c>
      <c r="EL21" s="584">
        <f>ROUND(54.8*0.5*4.1,0)</f>
        <v>112</v>
      </c>
      <c r="EM21" s="688">
        <v>4.9000000000000004</v>
      </c>
      <c r="EN21" s="584">
        <f>ROUND(54.8*0.5*4.9,0)</f>
        <v>134</v>
      </c>
      <c r="EO21" s="688">
        <v>6</v>
      </c>
      <c r="EP21" s="584">
        <f>ROUND(54.8*0.5*6,0)</f>
        <v>164</v>
      </c>
      <c r="EQ21" s="688">
        <v>7.3</v>
      </c>
      <c r="ER21" s="584">
        <f>ROUND(54.8*0.5*7.3,0)</f>
        <v>200</v>
      </c>
      <c r="ES21" s="688">
        <v>8.5</v>
      </c>
      <c r="ET21" s="584">
        <f>ROUND(54.8*0.5*8.5,0)</f>
        <v>233</v>
      </c>
      <c r="EU21" s="688">
        <v>9.6</v>
      </c>
      <c r="EV21" s="584">
        <f>ROUND(54.8*0.5*9.6,0)</f>
        <v>263</v>
      </c>
      <c r="EW21" s="688">
        <v>0</v>
      </c>
      <c r="EX21" s="584">
        <f>ROUND(54.8*0.5*0,0)</f>
        <v>0</v>
      </c>
      <c r="EY21" s="688">
        <v>0</v>
      </c>
      <c r="EZ21" s="584">
        <f>ROUND(54.8*0.5*0,0)</f>
        <v>0</v>
      </c>
      <c r="FA21" s="688">
        <v>0</v>
      </c>
      <c r="FB21" s="584">
        <f>ROUND(54.8*0.5*0,0)</f>
        <v>0</v>
      </c>
      <c r="FC21" s="688">
        <v>0</v>
      </c>
      <c r="FD21" s="584">
        <f>ROUND(54.8*0.5*0,0)</f>
        <v>0</v>
      </c>
      <c r="FE21" s="688">
        <v>0</v>
      </c>
      <c r="FF21" s="584">
        <f>ROUND(54.8*0.5*0,0)</f>
        <v>0</v>
      </c>
      <c r="FG21" s="688">
        <v>0</v>
      </c>
      <c r="FH21" s="586">
        <f>ROUND(54.8*0.5*0,0)</f>
        <v>0</v>
      </c>
      <c r="FI21" s="560"/>
      <c r="FJ21" s="561"/>
      <c r="FK21" s="693" t="s">
        <v>235</v>
      </c>
      <c r="FL21" s="684"/>
      <c r="FM21" s="580">
        <v>54.8</v>
      </c>
      <c r="FN21" s="685">
        <v>0.5</v>
      </c>
      <c r="FO21" s="686"/>
      <c r="FP21" s="689">
        <v>9</v>
      </c>
      <c r="FQ21" s="690">
        <v>20</v>
      </c>
      <c r="FR21" s="584">
        <f>ROUND(54.8*0.5*20,0)</f>
        <v>548</v>
      </c>
      <c r="FS21" s="691">
        <v>9</v>
      </c>
      <c r="FT21" s="690">
        <v>20.5</v>
      </c>
      <c r="FU21" s="589">
        <f>ROUND(54.8*0.5*20.5,0)</f>
        <v>562</v>
      </c>
      <c r="FV21" s="590"/>
      <c r="FW21" s="591"/>
      <c r="FX21" s="592"/>
      <c r="FY21" s="593"/>
      <c r="FZ21" s="594"/>
      <c r="GA21" s="595"/>
      <c r="GB21" s="596"/>
      <c r="GC21" s="597"/>
      <c r="GD21" s="596"/>
      <c r="GE21" s="598"/>
      <c r="GF21" s="681"/>
      <c r="GG21" s="599"/>
      <c r="GH21" s="599"/>
      <c r="GI21" s="599"/>
      <c r="GJ21" s="410"/>
      <c r="GK21" s="694" t="s">
        <v>455</v>
      </c>
      <c r="GL21" s="695"/>
      <c r="GM21" s="696"/>
      <c r="GN21" s="635">
        <v>10.8</v>
      </c>
      <c r="GO21" s="697"/>
      <c r="GP21" s="698"/>
      <c r="GQ21" s="630">
        <v>0</v>
      </c>
      <c r="GR21" s="631">
        <v>10.8</v>
      </c>
      <c r="GS21" s="575"/>
      <c r="GT21" s="670"/>
      <c r="GU21" s="694" t="s">
        <v>455</v>
      </c>
      <c r="GV21" s="695"/>
      <c r="GW21" s="696"/>
      <c r="GX21" s="699">
        <v>10.8</v>
      </c>
      <c r="GY21" s="700"/>
      <c r="GZ21" s="697"/>
      <c r="HA21" s="701">
        <v>7.02</v>
      </c>
      <c r="HB21" s="702"/>
      <c r="HC21" s="703"/>
      <c r="HD21" s="559"/>
      <c r="HE21" s="612"/>
      <c r="HF21" s="612"/>
      <c r="HG21" s="416"/>
    </row>
    <row r="22" spans="1:218" ht="20.100000000000001" customHeight="1">
      <c r="A22" s="549"/>
      <c r="B22" s="693" t="s">
        <v>258</v>
      </c>
      <c r="C22" s="684"/>
      <c r="D22" s="580">
        <v>54.8</v>
      </c>
      <c r="E22" s="685">
        <v>2.8</v>
      </c>
      <c r="F22" s="686"/>
      <c r="G22" s="687">
        <v>0</v>
      </c>
      <c r="H22" s="584">
        <f>ROUND(54.8*2.8*0,0)</f>
        <v>0</v>
      </c>
      <c r="I22" s="688">
        <v>0</v>
      </c>
      <c r="J22" s="584">
        <f>ROUND(54.8*2.8*0,0)</f>
        <v>0</v>
      </c>
      <c r="K22" s="688">
        <v>0</v>
      </c>
      <c r="L22" s="584">
        <f>ROUND(54.8*2.8*0,0)</f>
        <v>0</v>
      </c>
      <c r="M22" s="688">
        <v>0</v>
      </c>
      <c r="N22" s="584">
        <f>ROUND(54.8*2.8*0,0)</f>
        <v>0</v>
      </c>
      <c r="O22" s="688">
        <v>0</v>
      </c>
      <c r="P22" s="584">
        <f>ROUND(54.8*2.8*0,0)</f>
        <v>0</v>
      </c>
      <c r="Q22" s="688">
        <v>0</v>
      </c>
      <c r="R22" s="584">
        <f>ROUND(54.8*2.8*0,0)</f>
        <v>0</v>
      </c>
      <c r="S22" s="688">
        <v>0</v>
      </c>
      <c r="T22" s="584">
        <f>ROUND(54.8*2.8*0,0)</f>
        <v>0</v>
      </c>
      <c r="U22" s="688">
        <v>0</v>
      </c>
      <c r="V22" s="584">
        <f>ROUND(54.8*2.8*0,0)</f>
        <v>0</v>
      </c>
      <c r="W22" s="688">
        <v>1.6</v>
      </c>
      <c r="X22" s="584">
        <f>ROUND(54.8*2.8*1.6,0)</f>
        <v>246</v>
      </c>
      <c r="Y22" s="688">
        <v>2</v>
      </c>
      <c r="Z22" s="584">
        <f>ROUND(54.8*2.8*2,0)</f>
        <v>307</v>
      </c>
      <c r="AA22" s="688">
        <v>2.2000000000000002</v>
      </c>
      <c r="AB22" s="584">
        <f>ROUND(54.8*2.8*2.2,0)</f>
        <v>338</v>
      </c>
      <c r="AC22" s="688">
        <v>2.2999999999999998</v>
      </c>
      <c r="AD22" s="584">
        <f>ROUND(54.8*2.8*2.3,0)</f>
        <v>353</v>
      </c>
      <c r="AE22" s="688">
        <v>2.4</v>
      </c>
      <c r="AF22" s="584">
        <f>ROUND(54.8*2.8*2.4,0)</f>
        <v>368</v>
      </c>
      <c r="AG22" s="688">
        <v>2.4</v>
      </c>
      <c r="AH22" s="584">
        <f>ROUND(54.8*2.8*2.4,0)</f>
        <v>368</v>
      </c>
      <c r="AI22" s="688">
        <v>2.2000000000000002</v>
      </c>
      <c r="AJ22" s="584">
        <f>ROUND(54.8*2.8*2.2,0)</f>
        <v>338</v>
      </c>
      <c r="AK22" s="688">
        <v>2.1</v>
      </c>
      <c r="AL22" s="584">
        <f>ROUND(54.8*2.8*2.1,0)</f>
        <v>322</v>
      </c>
      <c r="AM22" s="688">
        <v>1.8</v>
      </c>
      <c r="AN22" s="584">
        <f>ROUND(54.8*2.8*1.8,0)</f>
        <v>276</v>
      </c>
      <c r="AO22" s="688">
        <v>1.6</v>
      </c>
      <c r="AP22" s="584">
        <f>ROUND(54.8*2.8*1.6,0)</f>
        <v>246</v>
      </c>
      <c r="AQ22" s="688">
        <v>0</v>
      </c>
      <c r="AR22" s="584">
        <f>ROUND(54.8*2.8*0,0)</f>
        <v>0</v>
      </c>
      <c r="AS22" s="688">
        <v>0</v>
      </c>
      <c r="AT22" s="584">
        <f>ROUND(54.8*2.8*0,0)</f>
        <v>0</v>
      </c>
      <c r="AU22" s="688">
        <v>0</v>
      </c>
      <c r="AV22" s="584">
        <f>ROUND(54.8*2.8*0,0)</f>
        <v>0</v>
      </c>
      <c r="AW22" s="688">
        <v>0</v>
      </c>
      <c r="AX22" s="584">
        <f>ROUND(54.8*2.8*0,0)</f>
        <v>0</v>
      </c>
      <c r="AY22" s="688">
        <v>0</v>
      </c>
      <c r="AZ22" s="584">
        <f>ROUND(54.8*2.8*0,0)</f>
        <v>0</v>
      </c>
      <c r="BA22" s="688">
        <v>0</v>
      </c>
      <c r="BB22" s="586">
        <f>ROUND(54.8*2.8*0,0)</f>
        <v>0</v>
      </c>
      <c r="BC22" s="559"/>
      <c r="BD22" s="549"/>
      <c r="BE22" s="693" t="s">
        <v>258</v>
      </c>
      <c r="BF22" s="684"/>
      <c r="BG22" s="580">
        <v>54.8</v>
      </c>
      <c r="BH22" s="685">
        <v>2.8</v>
      </c>
      <c r="BI22" s="686"/>
      <c r="BJ22" s="687">
        <v>0</v>
      </c>
      <c r="BK22" s="584">
        <f>ROUND(54.8*2.8*0,0)</f>
        <v>0</v>
      </c>
      <c r="BL22" s="688">
        <v>0</v>
      </c>
      <c r="BM22" s="584">
        <f>ROUND(54.8*2.8*0,0)</f>
        <v>0</v>
      </c>
      <c r="BN22" s="688">
        <v>0</v>
      </c>
      <c r="BO22" s="584">
        <f>ROUND(54.8*2.8*0,0)</f>
        <v>0</v>
      </c>
      <c r="BP22" s="688">
        <v>0</v>
      </c>
      <c r="BQ22" s="584">
        <f>ROUND(54.8*2.8*0,0)</f>
        <v>0</v>
      </c>
      <c r="BR22" s="688">
        <v>0</v>
      </c>
      <c r="BS22" s="584">
        <f>ROUND(54.8*2.8*0,0)</f>
        <v>0</v>
      </c>
      <c r="BT22" s="688">
        <v>0</v>
      </c>
      <c r="BU22" s="584">
        <f>ROUND(54.8*2.8*0,0)</f>
        <v>0</v>
      </c>
      <c r="BV22" s="688">
        <v>0</v>
      </c>
      <c r="BW22" s="584">
        <f>ROUND(54.8*2.8*0,0)</f>
        <v>0</v>
      </c>
      <c r="BX22" s="688">
        <v>0</v>
      </c>
      <c r="BY22" s="584">
        <f>ROUND(54.8*2.8*0,0)</f>
        <v>0</v>
      </c>
      <c r="BZ22" s="688">
        <v>1.5</v>
      </c>
      <c r="CA22" s="584">
        <f>ROUND(54.8*2.8*1.5,0)</f>
        <v>230</v>
      </c>
      <c r="CB22" s="688">
        <v>1.8</v>
      </c>
      <c r="CC22" s="584">
        <f>ROUND(54.8*2.8*1.8,0)</f>
        <v>276</v>
      </c>
      <c r="CD22" s="688">
        <v>2.1</v>
      </c>
      <c r="CE22" s="584">
        <f>ROUND(54.8*2.8*2.1,0)</f>
        <v>322</v>
      </c>
      <c r="CF22" s="688">
        <v>2.2000000000000002</v>
      </c>
      <c r="CG22" s="584">
        <f>ROUND(54.8*2.8*2.2,0)</f>
        <v>338</v>
      </c>
      <c r="CH22" s="688">
        <v>2.2999999999999998</v>
      </c>
      <c r="CI22" s="584">
        <f>ROUND(54.8*2.8*2.3,0)</f>
        <v>353</v>
      </c>
      <c r="CJ22" s="688">
        <v>2.2000000000000002</v>
      </c>
      <c r="CK22" s="584">
        <f>ROUND(54.8*2.8*2.2,0)</f>
        <v>338</v>
      </c>
      <c r="CL22" s="688">
        <v>2.1</v>
      </c>
      <c r="CM22" s="584">
        <f>ROUND(54.8*2.8*2.1,0)</f>
        <v>322</v>
      </c>
      <c r="CN22" s="688">
        <v>2</v>
      </c>
      <c r="CO22" s="584">
        <f>ROUND(54.8*2.8*2,0)</f>
        <v>307</v>
      </c>
      <c r="CP22" s="688">
        <v>1.8</v>
      </c>
      <c r="CQ22" s="584">
        <f>ROUND(54.8*2.8*1.8,0)</f>
        <v>276</v>
      </c>
      <c r="CR22" s="688">
        <v>1.5</v>
      </c>
      <c r="CS22" s="584">
        <f>ROUND(54.8*2.8*1.5,0)</f>
        <v>230</v>
      </c>
      <c r="CT22" s="688">
        <v>0</v>
      </c>
      <c r="CU22" s="584">
        <f>ROUND(54.8*2.8*0,0)</f>
        <v>0</v>
      </c>
      <c r="CV22" s="688">
        <v>0</v>
      </c>
      <c r="CW22" s="584">
        <f>ROUND(54.8*2.8*0,0)</f>
        <v>0</v>
      </c>
      <c r="CX22" s="688">
        <v>0</v>
      </c>
      <c r="CY22" s="584">
        <f>ROUND(54.8*2.8*0,0)</f>
        <v>0</v>
      </c>
      <c r="CZ22" s="688">
        <v>0</v>
      </c>
      <c r="DA22" s="584">
        <f>ROUND(54.8*2.8*0,0)</f>
        <v>0</v>
      </c>
      <c r="DB22" s="688">
        <v>0</v>
      </c>
      <c r="DC22" s="584">
        <f>ROUND(54.8*2.8*0,0)</f>
        <v>0</v>
      </c>
      <c r="DD22" s="688">
        <v>0</v>
      </c>
      <c r="DE22" s="586">
        <f>ROUND(54.8*2.8*0,0)</f>
        <v>0</v>
      </c>
      <c r="DF22" s="559"/>
      <c r="DG22" s="549"/>
      <c r="DH22" s="693" t="s">
        <v>258</v>
      </c>
      <c r="DI22" s="684"/>
      <c r="DJ22" s="580">
        <v>54.8</v>
      </c>
      <c r="DK22" s="685">
        <v>2.8</v>
      </c>
      <c r="DL22" s="686"/>
      <c r="DM22" s="687">
        <v>0</v>
      </c>
      <c r="DN22" s="584">
        <f>ROUND(54.8*2.8*0,0)</f>
        <v>0</v>
      </c>
      <c r="DO22" s="688">
        <v>0</v>
      </c>
      <c r="DP22" s="584">
        <f>ROUND(54.8*2.8*0,0)</f>
        <v>0</v>
      </c>
      <c r="DQ22" s="688">
        <v>0</v>
      </c>
      <c r="DR22" s="584">
        <f>ROUND(54.8*2.8*0,0)</f>
        <v>0</v>
      </c>
      <c r="DS22" s="688">
        <v>0</v>
      </c>
      <c r="DT22" s="584">
        <f>ROUND(54.8*2.8*0,0)</f>
        <v>0</v>
      </c>
      <c r="DU22" s="688">
        <v>0</v>
      </c>
      <c r="DV22" s="584">
        <f>ROUND(54.8*2.8*0,0)</f>
        <v>0</v>
      </c>
      <c r="DW22" s="688">
        <v>0</v>
      </c>
      <c r="DX22" s="584">
        <f>ROUND(54.8*2.8*0,0)</f>
        <v>0</v>
      </c>
      <c r="DY22" s="688">
        <v>0</v>
      </c>
      <c r="DZ22" s="584">
        <f>ROUND(54.8*2.8*0,0)</f>
        <v>0</v>
      </c>
      <c r="EA22" s="688">
        <v>0</v>
      </c>
      <c r="EB22" s="584">
        <f>ROUND(54.8*2.8*0,0)</f>
        <v>0</v>
      </c>
      <c r="EC22" s="688">
        <v>0.8</v>
      </c>
      <c r="ED22" s="584">
        <f>ROUND(54.8*2.8*0.8,0)</f>
        <v>123</v>
      </c>
      <c r="EE22" s="688">
        <v>1.2</v>
      </c>
      <c r="EF22" s="584">
        <f>ROUND(54.8*2.8*1.2,0)</f>
        <v>184</v>
      </c>
      <c r="EG22" s="688">
        <v>1.5</v>
      </c>
      <c r="EH22" s="584">
        <f>ROUND(54.8*2.8*1.5,0)</f>
        <v>230</v>
      </c>
      <c r="EI22" s="688">
        <v>1.7</v>
      </c>
      <c r="EJ22" s="584">
        <f>ROUND(54.8*2.8*1.7,0)</f>
        <v>261</v>
      </c>
      <c r="EK22" s="688">
        <v>1.7</v>
      </c>
      <c r="EL22" s="584">
        <f>ROUND(54.8*2.8*1.7,0)</f>
        <v>261</v>
      </c>
      <c r="EM22" s="688">
        <v>1.6</v>
      </c>
      <c r="EN22" s="584">
        <f>ROUND(54.8*2.8*1.6,0)</f>
        <v>246</v>
      </c>
      <c r="EO22" s="688">
        <v>1.5</v>
      </c>
      <c r="EP22" s="584">
        <f>ROUND(54.8*2.8*1.5,0)</f>
        <v>230</v>
      </c>
      <c r="EQ22" s="688">
        <v>1.4</v>
      </c>
      <c r="ER22" s="584">
        <f>ROUND(54.8*2.8*1.4,0)</f>
        <v>215</v>
      </c>
      <c r="ES22" s="688">
        <v>1.1000000000000001</v>
      </c>
      <c r="ET22" s="584">
        <f>ROUND(54.8*2.8*1.1,0)</f>
        <v>169</v>
      </c>
      <c r="EU22" s="688">
        <v>0.8</v>
      </c>
      <c r="EV22" s="584">
        <f>ROUND(54.8*2.8*0.8,0)</f>
        <v>123</v>
      </c>
      <c r="EW22" s="688">
        <v>0</v>
      </c>
      <c r="EX22" s="584">
        <f>ROUND(54.8*2.8*0,0)</f>
        <v>0</v>
      </c>
      <c r="EY22" s="688">
        <v>0</v>
      </c>
      <c r="EZ22" s="584">
        <f>ROUND(54.8*2.8*0,0)</f>
        <v>0</v>
      </c>
      <c r="FA22" s="688">
        <v>0</v>
      </c>
      <c r="FB22" s="584">
        <f>ROUND(54.8*2.8*0,0)</f>
        <v>0</v>
      </c>
      <c r="FC22" s="688">
        <v>0</v>
      </c>
      <c r="FD22" s="584">
        <f>ROUND(54.8*2.8*0,0)</f>
        <v>0</v>
      </c>
      <c r="FE22" s="688">
        <v>0</v>
      </c>
      <c r="FF22" s="584">
        <f>ROUND(54.8*2.8*0,0)</f>
        <v>0</v>
      </c>
      <c r="FG22" s="688">
        <v>0</v>
      </c>
      <c r="FH22" s="586">
        <f>ROUND(54.8*2.8*0,0)</f>
        <v>0</v>
      </c>
      <c r="FI22" s="560"/>
      <c r="FJ22" s="561"/>
      <c r="FK22" s="693" t="s">
        <v>258</v>
      </c>
      <c r="FL22" s="684"/>
      <c r="FM22" s="580">
        <v>54.8</v>
      </c>
      <c r="FN22" s="685">
        <v>2.8</v>
      </c>
      <c r="FO22" s="686"/>
      <c r="FP22" s="689">
        <v>9</v>
      </c>
      <c r="FQ22" s="690">
        <v>6</v>
      </c>
      <c r="FR22" s="584">
        <f>ROUND(54.8*2.8*6,0)</f>
        <v>921</v>
      </c>
      <c r="FS22" s="691">
        <v>9</v>
      </c>
      <c r="FT22" s="690">
        <v>6.1</v>
      </c>
      <c r="FU22" s="589">
        <f>ROUND(54.8*2.8*6.1,0)</f>
        <v>936</v>
      </c>
      <c r="FV22" s="590"/>
      <c r="FW22" s="591"/>
      <c r="FX22" s="592"/>
      <c r="FY22" s="593"/>
      <c r="FZ22" s="594"/>
      <c r="GA22" s="595"/>
      <c r="GB22" s="596"/>
      <c r="GC22" s="597"/>
      <c r="GD22" s="596"/>
      <c r="GE22" s="598"/>
      <c r="GF22" s="681"/>
      <c r="GG22" s="599"/>
      <c r="GH22" s="599"/>
      <c r="GI22" s="599"/>
      <c r="GJ22" s="527"/>
      <c r="GK22" s="704" t="s">
        <v>456</v>
      </c>
      <c r="GL22" s="705"/>
      <c r="GM22" s="705"/>
      <c r="GN22" s="706"/>
      <c r="GO22" s="630">
        <v>0</v>
      </c>
      <c r="GP22" s="630">
        <v>1</v>
      </c>
      <c r="GQ22" s="707"/>
      <c r="GR22" s="708"/>
      <c r="GS22" s="575"/>
      <c r="GT22" s="670"/>
      <c r="GU22" s="704" t="s">
        <v>456</v>
      </c>
      <c r="GV22" s="705"/>
      <c r="GW22" s="705"/>
      <c r="GX22" s="705"/>
      <c r="GY22" s="706"/>
      <c r="GZ22" s="630">
        <v>0.65</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457</v>
      </c>
      <c r="GL23" s="606"/>
      <c r="GM23" s="711"/>
      <c r="GN23" s="712">
        <v>54.8</v>
      </c>
      <c r="GO23" s="497" t="s">
        <v>458</v>
      </c>
      <c r="GP23" s="712"/>
      <c r="GQ23" s="606"/>
      <c r="GR23" s="612"/>
      <c r="GS23" s="575"/>
      <c r="GT23" s="670"/>
      <c r="GU23" s="606"/>
      <c r="GV23" s="527"/>
      <c r="GW23" s="606"/>
      <c r="GX23" s="606"/>
      <c r="GY23" s="713"/>
      <c r="GZ23" s="714"/>
      <c r="HA23" s="414"/>
      <c r="HB23" s="714" t="s">
        <v>459</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460</v>
      </c>
      <c r="GL24" s="606"/>
      <c r="GM24" s="711"/>
      <c r="GN24" s="712">
        <v>0.2</v>
      </c>
      <c r="GO24" s="712"/>
      <c r="GP24" s="712"/>
      <c r="GQ24" s="606"/>
      <c r="GR24" s="612"/>
      <c r="GS24" s="606"/>
      <c r="GT24" s="670"/>
      <c r="GU24" s="577" t="s">
        <v>461</v>
      </c>
      <c r="GV24" s="606"/>
      <c r="GW24" s="606"/>
      <c r="GX24" s="414"/>
      <c r="GY24" s="715">
        <v>614</v>
      </c>
      <c r="GZ24" s="577" t="s">
        <v>462</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463</v>
      </c>
      <c r="GV25" s="606"/>
      <c r="GW25" s="606"/>
      <c r="GX25" s="414"/>
      <c r="GY25" s="726">
        <v>1</v>
      </c>
      <c r="GZ25" s="577"/>
      <c r="HA25" s="527"/>
      <c r="HB25" s="527"/>
      <c r="HC25" s="527"/>
      <c r="HD25" s="559"/>
      <c r="HE25" s="559"/>
      <c r="HF25" s="416"/>
      <c r="HG25" s="416"/>
    </row>
    <row r="26" spans="1:218" ht="20.100000000000001" customHeight="1">
      <c r="A26" s="638"/>
      <c r="B26" s="639"/>
      <c r="C26" s="639"/>
      <c r="D26" s="639" t="s">
        <v>317</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919</v>
      </c>
      <c r="Y26" s="728"/>
      <c r="Z26" s="642">
        <f>SUM(Z16:Z25)</f>
        <v>1110</v>
      </c>
      <c r="AA26" s="728"/>
      <c r="AB26" s="642">
        <f>SUM(AB16:AB25)</f>
        <v>1237</v>
      </c>
      <c r="AC26" s="728"/>
      <c r="AD26" s="642">
        <f>SUM(AD16:AD25)</f>
        <v>1333</v>
      </c>
      <c r="AE26" s="728"/>
      <c r="AF26" s="642">
        <f>SUM(AF16:AF25)</f>
        <v>1412</v>
      </c>
      <c r="AG26" s="728"/>
      <c r="AH26" s="642">
        <f>SUM(AH16:AH25)</f>
        <v>1456</v>
      </c>
      <c r="AI26" s="728"/>
      <c r="AJ26" s="642">
        <f>SUM(AJ16:AJ25)</f>
        <v>1415</v>
      </c>
      <c r="AK26" s="728"/>
      <c r="AL26" s="642">
        <f>SUM(AL16:AL25)</f>
        <v>1374</v>
      </c>
      <c r="AM26" s="728"/>
      <c r="AN26" s="642">
        <f>SUM(AN16:AN25)</f>
        <v>1250</v>
      </c>
      <c r="AO26" s="728"/>
      <c r="AP26" s="642">
        <f>SUM(AP16:AP25)</f>
        <v>1148</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318</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872</v>
      </c>
      <c r="CB26" s="728"/>
      <c r="CC26" s="642">
        <f>SUM(CC16:CC25)</f>
        <v>1028</v>
      </c>
      <c r="CD26" s="728"/>
      <c r="CE26" s="642">
        <f>SUM(CE16:CE25)</f>
        <v>1189</v>
      </c>
      <c r="CF26" s="728"/>
      <c r="CG26" s="642">
        <f>SUM(CG16:CG25)</f>
        <v>1289</v>
      </c>
      <c r="CH26" s="728"/>
      <c r="CI26" s="642">
        <f>SUM(CI16:CI25)</f>
        <v>1364</v>
      </c>
      <c r="CJ26" s="728"/>
      <c r="CK26" s="642">
        <f>SUM(CK16:CK25)</f>
        <v>1390</v>
      </c>
      <c r="CL26" s="728"/>
      <c r="CM26" s="642">
        <f>SUM(CM16:CM25)</f>
        <v>1372</v>
      </c>
      <c r="CN26" s="728"/>
      <c r="CO26" s="642">
        <f>SUM(CO16:CO25)</f>
        <v>1350</v>
      </c>
      <c r="CP26" s="728"/>
      <c r="CQ26" s="642">
        <f>SUM(CQ16:CQ25)</f>
        <v>1281</v>
      </c>
      <c r="CR26" s="728"/>
      <c r="CS26" s="642">
        <f>SUM(CS16:CS25)</f>
        <v>1144</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318</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498</v>
      </c>
      <c r="EE26" s="728"/>
      <c r="EF26" s="642">
        <f>SUM(EF16:EF25)</f>
        <v>705</v>
      </c>
      <c r="EG26" s="728"/>
      <c r="EH26" s="642">
        <f>SUM(EH16:EH25)</f>
        <v>880</v>
      </c>
      <c r="EI26" s="728"/>
      <c r="EJ26" s="642">
        <f>SUM(EJ16:EJ25)</f>
        <v>1032</v>
      </c>
      <c r="EK26" s="728"/>
      <c r="EL26" s="642">
        <f>SUM(EL16:EL25)</f>
        <v>1117</v>
      </c>
      <c r="EM26" s="728"/>
      <c r="EN26" s="642">
        <f>SUM(EN16:EN25)</f>
        <v>1138</v>
      </c>
      <c r="EO26" s="728"/>
      <c r="EP26" s="642">
        <f>SUM(EP16:EP25)</f>
        <v>1135</v>
      </c>
      <c r="EQ26" s="728"/>
      <c r="ER26" s="642">
        <f>SUM(ER16:ER25)</f>
        <v>1121</v>
      </c>
      <c r="ES26" s="728"/>
      <c r="ET26" s="642">
        <f>SUM(ET16:ET25)</f>
        <v>992</v>
      </c>
      <c r="EU26" s="728"/>
      <c r="EV26" s="642">
        <f>SUM(EV16:EV25)</f>
        <v>836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318</v>
      </c>
      <c r="FN26" s="639"/>
      <c r="FO26" s="639"/>
      <c r="FP26" s="647"/>
      <c r="FQ26" s="648"/>
      <c r="FR26" s="642">
        <f>SUM(FR16:FR25)</f>
        <v>3480</v>
      </c>
      <c r="FS26" s="729"/>
      <c r="FT26" s="648"/>
      <c r="FU26" s="650">
        <f>SUM(FU16:FU25)</f>
        <v>3560</v>
      </c>
      <c r="FV26" s="590"/>
      <c r="FW26" s="591"/>
      <c r="FX26" s="592"/>
      <c r="FY26" s="593"/>
      <c r="FZ26" s="594"/>
      <c r="GA26" s="595"/>
      <c r="GB26" s="596"/>
      <c r="GC26" s="597"/>
      <c r="GD26" s="596"/>
      <c r="GE26" s="598"/>
      <c r="GF26" s="651"/>
      <c r="GG26" s="652"/>
      <c r="GH26" s="652"/>
      <c r="GI26" s="652"/>
      <c r="GJ26" s="612"/>
      <c r="GK26" s="527" t="s">
        <v>464</v>
      </c>
      <c r="GL26" s="612"/>
      <c r="GM26" s="527"/>
      <c r="GN26" s="612"/>
      <c r="GO26" s="527"/>
      <c r="GP26" s="612"/>
      <c r="GQ26" s="612"/>
      <c r="GR26" s="612"/>
      <c r="GS26" s="576"/>
      <c r="GT26" s="670"/>
      <c r="GU26" s="577" t="s">
        <v>465</v>
      </c>
      <c r="GV26" s="606"/>
      <c r="GW26" s="606"/>
      <c r="GX26" s="414"/>
      <c r="GY26" s="726">
        <v>0.65</v>
      </c>
      <c r="GZ26" s="577"/>
      <c r="HA26" s="527"/>
      <c r="HB26" s="527"/>
      <c r="HC26" s="527"/>
      <c r="HD26" s="645"/>
      <c r="HE26" s="416"/>
      <c r="HF26" s="416"/>
      <c r="HG26" s="577"/>
      <c r="HH26" s="645"/>
      <c r="HI26" s="416"/>
      <c r="HJ26" s="416"/>
    </row>
    <row r="27" spans="1:218" ht="20.100000000000001" customHeight="1">
      <c r="A27" s="730" t="s">
        <v>391</v>
      </c>
      <c r="B27" s="731"/>
      <c r="C27" s="732"/>
      <c r="D27" s="660"/>
      <c r="E27" s="732"/>
      <c r="F27" s="732"/>
      <c r="G27" s="733" t="s">
        <v>392</v>
      </c>
      <c r="H27" s="660" t="s">
        <v>393</v>
      </c>
      <c r="I27" s="734" t="s">
        <v>392</v>
      </c>
      <c r="J27" s="660" t="s">
        <v>393</v>
      </c>
      <c r="K27" s="735" t="s">
        <v>392</v>
      </c>
      <c r="L27" s="660" t="s">
        <v>393</v>
      </c>
      <c r="M27" s="735" t="s">
        <v>392</v>
      </c>
      <c r="N27" s="660" t="s">
        <v>393</v>
      </c>
      <c r="O27" s="735" t="s">
        <v>392</v>
      </c>
      <c r="P27" s="660" t="s">
        <v>393</v>
      </c>
      <c r="Q27" s="735" t="s">
        <v>392</v>
      </c>
      <c r="R27" s="660" t="s">
        <v>393</v>
      </c>
      <c r="S27" s="735" t="s">
        <v>392</v>
      </c>
      <c r="T27" s="660" t="s">
        <v>393</v>
      </c>
      <c r="U27" s="735" t="s">
        <v>392</v>
      </c>
      <c r="V27" s="660" t="s">
        <v>393</v>
      </c>
      <c r="W27" s="735" t="s">
        <v>392</v>
      </c>
      <c r="X27" s="660" t="s">
        <v>393</v>
      </c>
      <c r="Y27" s="735" t="s">
        <v>392</v>
      </c>
      <c r="Z27" s="660" t="s">
        <v>393</v>
      </c>
      <c r="AA27" s="735" t="s">
        <v>392</v>
      </c>
      <c r="AB27" s="660" t="s">
        <v>393</v>
      </c>
      <c r="AC27" s="735" t="s">
        <v>392</v>
      </c>
      <c r="AD27" s="660" t="s">
        <v>393</v>
      </c>
      <c r="AE27" s="735" t="s">
        <v>392</v>
      </c>
      <c r="AF27" s="660" t="s">
        <v>393</v>
      </c>
      <c r="AG27" s="735" t="s">
        <v>392</v>
      </c>
      <c r="AH27" s="660" t="s">
        <v>393</v>
      </c>
      <c r="AI27" s="735" t="s">
        <v>392</v>
      </c>
      <c r="AJ27" s="660" t="s">
        <v>393</v>
      </c>
      <c r="AK27" s="735" t="s">
        <v>392</v>
      </c>
      <c r="AL27" s="660" t="s">
        <v>393</v>
      </c>
      <c r="AM27" s="735" t="s">
        <v>392</v>
      </c>
      <c r="AN27" s="660" t="s">
        <v>393</v>
      </c>
      <c r="AO27" s="735" t="s">
        <v>392</v>
      </c>
      <c r="AP27" s="660" t="s">
        <v>393</v>
      </c>
      <c r="AQ27" s="735" t="s">
        <v>392</v>
      </c>
      <c r="AR27" s="660" t="s">
        <v>393</v>
      </c>
      <c r="AS27" s="735" t="s">
        <v>392</v>
      </c>
      <c r="AT27" s="660" t="s">
        <v>393</v>
      </c>
      <c r="AU27" s="735" t="s">
        <v>392</v>
      </c>
      <c r="AV27" s="660" t="s">
        <v>393</v>
      </c>
      <c r="AW27" s="735" t="s">
        <v>392</v>
      </c>
      <c r="AX27" s="660" t="s">
        <v>393</v>
      </c>
      <c r="AY27" s="735" t="s">
        <v>392</v>
      </c>
      <c r="AZ27" s="660" t="s">
        <v>393</v>
      </c>
      <c r="BA27" s="735" t="s">
        <v>392</v>
      </c>
      <c r="BB27" s="662" t="s">
        <v>393</v>
      </c>
      <c r="BC27" s="716"/>
      <c r="BD27" s="730" t="s">
        <v>391</v>
      </c>
      <c r="BE27" s="731"/>
      <c r="BF27" s="732"/>
      <c r="BG27" s="660"/>
      <c r="BH27" s="732"/>
      <c r="BI27" s="732"/>
      <c r="BJ27" s="733" t="s">
        <v>392</v>
      </c>
      <c r="BK27" s="660" t="s">
        <v>393</v>
      </c>
      <c r="BL27" s="734" t="s">
        <v>392</v>
      </c>
      <c r="BM27" s="660" t="s">
        <v>393</v>
      </c>
      <c r="BN27" s="735" t="s">
        <v>392</v>
      </c>
      <c r="BO27" s="660" t="s">
        <v>393</v>
      </c>
      <c r="BP27" s="735" t="s">
        <v>392</v>
      </c>
      <c r="BQ27" s="660" t="s">
        <v>393</v>
      </c>
      <c r="BR27" s="735" t="s">
        <v>392</v>
      </c>
      <c r="BS27" s="660" t="s">
        <v>393</v>
      </c>
      <c r="BT27" s="735" t="s">
        <v>392</v>
      </c>
      <c r="BU27" s="660" t="s">
        <v>393</v>
      </c>
      <c r="BV27" s="735" t="s">
        <v>392</v>
      </c>
      <c r="BW27" s="660" t="s">
        <v>393</v>
      </c>
      <c r="BX27" s="735" t="s">
        <v>392</v>
      </c>
      <c r="BY27" s="660" t="s">
        <v>393</v>
      </c>
      <c r="BZ27" s="735" t="s">
        <v>392</v>
      </c>
      <c r="CA27" s="660" t="s">
        <v>393</v>
      </c>
      <c r="CB27" s="735" t="s">
        <v>392</v>
      </c>
      <c r="CC27" s="660" t="s">
        <v>393</v>
      </c>
      <c r="CD27" s="735" t="s">
        <v>392</v>
      </c>
      <c r="CE27" s="660" t="s">
        <v>393</v>
      </c>
      <c r="CF27" s="735" t="s">
        <v>392</v>
      </c>
      <c r="CG27" s="660" t="s">
        <v>393</v>
      </c>
      <c r="CH27" s="735" t="s">
        <v>392</v>
      </c>
      <c r="CI27" s="660" t="s">
        <v>393</v>
      </c>
      <c r="CJ27" s="735" t="s">
        <v>392</v>
      </c>
      <c r="CK27" s="660" t="s">
        <v>393</v>
      </c>
      <c r="CL27" s="735" t="s">
        <v>392</v>
      </c>
      <c r="CM27" s="660" t="s">
        <v>393</v>
      </c>
      <c r="CN27" s="735" t="s">
        <v>392</v>
      </c>
      <c r="CO27" s="660" t="s">
        <v>393</v>
      </c>
      <c r="CP27" s="735" t="s">
        <v>392</v>
      </c>
      <c r="CQ27" s="660" t="s">
        <v>393</v>
      </c>
      <c r="CR27" s="735" t="s">
        <v>392</v>
      </c>
      <c r="CS27" s="660" t="s">
        <v>393</v>
      </c>
      <c r="CT27" s="735" t="s">
        <v>392</v>
      </c>
      <c r="CU27" s="660" t="s">
        <v>393</v>
      </c>
      <c r="CV27" s="735" t="s">
        <v>392</v>
      </c>
      <c r="CW27" s="660" t="s">
        <v>393</v>
      </c>
      <c r="CX27" s="735" t="s">
        <v>392</v>
      </c>
      <c r="CY27" s="660" t="s">
        <v>393</v>
      </c>
      <c r="CZ27" s="735" t="s">
        <v>392</v>
      </c>
      <c r="DA27" s="660" t="s">
        <v>393</v>
      </c>
      <c r="DB27" s="735" t="s">
        <v>392</v>
      </c>
      <c r="DC27" s="660" t="s">
        <v>393</v>
      </c>
      <c r="DD27" s="735" t="s">
        <v>392</v>
      </c>
      <c r="DE27" s="662" t="s">
        <v>393</v>
      </c>
      <c r="DF27" s="716"/>
      <c r="DG27" s="730" t="s">
        <v>391</v>
      </c>
      <c r="DH27" s="736"/>
      <c r="DI27" s="737"/>
      <c r="DJ27" s="738"/>
      <c r="DK27" s="737"/>
      <c r="DL27" s="737"/>
      <c r="DM27" s="733" t="s">
        <v>392</v>
      </c>
      <c r="DN27" s="660" t="s">
        <v>393</v>
      </c>
      <c r="DO27" s="734" t="s">
        <v>392</v>
      </c>
      <c r="DP27" s="660" t="s">
        <v>393</v>
      </c>
      <c r="DQ27" s="735" t="s">
        <v>392</v>
      </c>
      <c r="DR27" s="660" t="s">
        <v>393</v>
      </c>
      <c r="DS27" s="735" t="s">
        <v>392</v>
      </c>
      <c r="DT27" s="660" t="s">
        <v>393</v>
      </c>
      <c r="DU27" s="735" t="s">
        <v>392</v>
      </c>
      <c r="DV27" s="660" t="s">
        <v>393</v>
      </c>
      <c r="DW27" s="735" t="s">
        <v>392</v>
      </c>
      <c r="DX27" s="660" t="s">
        <v>393</v>
      </c>
      <c r="DY27" s="735" t="s">
        <v>392</v>
      </c>
      <c r="DZ27" s="660" t="s">
        <v>393</v>
      </c>
      <c r="EA27" s="735" t="s">
        <v>392</v>
      </c>
      <c r="EB27" s="660" t="s">
        <v>393</v>
      </c>
      <c r="EC27" s="735" t="s">
        <v>392</v>
      </c>
      <c r="ED27" s="660" t="s">
        <v>393</v>
      </c>
      <c r="EE27" s="735" t="s">
        <v>392</v>
      </c>
      <c r="EF27" s="660" t="s">
        <v>393</v>
      </c>
      <c r="EG27" s="735" t="s">
        <v>392</v>
      </c>
      <c r="EH27" s="660" t="s">
        <v>393</v>
      </c>
      <c r="EI27" s="735" t="s">
        <v>392</v>
      </c>
      <c r="EJ27" s="660" t="s">
        <v>393</v>
      </c>
      <c r="EK27" s="735" t="s">
        <v>392</v>
      </c>
      <c r="EL27" s="660" t="s">
        <v>393</v>
      </c>
      <c r="EM27" s="735" t="s">
        <v>392</v>
      </c>
      <c r="EN27" s="660" t="s">
        <v>393</v>
      </c>
      <c r="EO27" s="735" t="s">
        <v>392</v>
      </c>
      <c r="EP27" s="660" t="s">
        <v>393</v>
      </c>
      <c r="EQ27" s="735" t="s">
        <v>392</v>
      </c>
      <c r="ER27" s="660" t="s">
        <v>393</v>
      </c>
      <c r="ES27" s="735" t="s">
        <v>392</v>
      </c>
      <c r="ET27" s="660" t="s">
        <v>393</v>
      </c>
      <c r="EU27" s="735" t="s">
        <v>392</v>
      </c>
      <c r="EV27" s="660" t="s">
        <v>393</v>
      </c>
      <c r="EW27" s="735" t="s">
        <v>392</v>
      </c>
      <c r="EX27" s="660" t="s">
        <v>393</v>
      </c>
      <c r="EY27" s="735" t="s">
        <v>392</v>
      </c>
      <c r="EZ27" s="660" t="s">
        <v>393</v>
      </c>
      <c r="FA27" s="735" t="s">
        <v>392</v>
      </c>
      <c r="FB27" s="660" t="s">
        <v>393</v>
      </c>
      <c r="FC27" s="735" t="s">
        <v>392</v>
      </c>
      <c r="FD27" s="660" t="s">
        <v>393</v>
      </c>
      <c r="FE27" s="735" t="s">
        <v>392</v>
      </c>
      <c r="FF27" s="660" t="s">
        <v>393</v>
      </c>
      <c r="FG27" s="735" t="s">
        <v>392</v>
      </c>
      <c r="FH27" s="662" t="s">
        <v>393</v>
      </c>
      <c r="FI27" s="739"/>
      <c r="FJ27" s="539" t="s">
        <v>391</v>
      </c>
      <c r="FK27" s="736"/>
      <c r="FL27" s="737"/>
      <c r="FM27" s="738"/>
      <c r="FN27" s="737"/>
      <c r="FO27" s="737"/>
      <c r="FP27" s="740" t="s">
        <v>394</v>
      </c>
      <c r="FQ27" s="666" t="s">
        <v>392</v>
      </c>
      <c r="FR27" s="660" t="s">
        <v>395</v>
      </c>
      <c r="FS27" s="741" t="s">
        <v>394</v>
      </c>
      <c r="FT27" s="666" t="s">
        <v>392</v>
      </c>
      <c r="FU27" s="668" t="s">
        <v>395</v>
      </c>
      <c r="FV27" s="590"/>
      <c r="FW27" s="591"/>
      <c r="FX27" s="592"/>
      <c r="FY27" s="593"/>
      <c r="FZ27" s="594"/>
      <c r="GA27" s="595"/>
      <c r="GB27" s="596"/>
      <c r="GC27" s="597"/>
      <c r="GD27" s="596"/>
      <c r="GE27" s="598"/>
      <c r="GF27" s="742"/>
      <c r="GG27" s="743"/>
      <c r="GH27" s="743"/>
      <c r="GI27" s="743"/>
      <c r="GJ27" s="612"/>
      <c r="GK27" s="527" t="s">
        <v>466</v>
      </c>
      <c r="GL27" s="612"/>
      <c r="GM27" s="612"/>
      <c r="GN27" s="612"/>
      <c r="GO27" s="414"/>
      <c r="GP27" s="744">
        <v>27.3</v>
      </c>
      <c r="GQ27" s="414" t="s">
        <v>467</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396</v>
      </c>
      <c r="C28" s="746"/>
      <c r="D28" s="747">
        <v>69</v>
      </c>
      <c r="E28" s="748">
        <v>6</v>
      </c>
      <c r="F28" s="749" t="s">
        <v>397</v>
      </c>
      <c r="G28" s="750"/>
      <c r="H28" s="556"/>
      <c r="I28" s="751"/>
      <c r="J28" s="556"/>
      <c r="K28" s="751"/>
      <c r="L28" s="556"/>
      <c r="M28" s="751"/>
      <c r="N28" s="556"/>
      <c r="O28" s="751"/>
      <c r="P28" s="556"/>
      <c r="Q28" s="751"/>
      <c r="R28" s="556"/>
      <c r="S28" s="751"/>
      <c r="T28" s="556"/>
      <c r="U28" s="751"/>
      <c r="V28" s="556"/>
      <c r="W28" s="751">
        <v>1</v>
      </c>
      <c r="X28" s="556">
        <v>414</v>
      </c>
      <c r="Y28" s="751">
        <v>1</v>
      </c>
      <c r="Z28" s="556">
        <v>414</v>
      </c>
      <c r="AA28" s="751">
        <v>1</v>
      </c>
      <c r="AB28" s="556">
        <v>414</v>
      </c>
      <c r="AC28" s="751">
        <v>0.5</v>
      </c>
      <c r="AD28" s="556">
        <v>207</v>
      </c>
      <c r="AE28" s="751">
        <v>1</v>
      </c>
      <c r="AF28" s="556">
        <v>414</v>
      </c>
      <c r="AG28" s="751">
        <v>1</v>
      </c>
      <c r="AH28" s="556">
        <v>414</v>
      </c>
      <c r="AI28" s="751">
        <v>1</v>
      </c>
      <c r="AJ28" s="556">
        <v>414</v>
      </c>
      <c r="AK28" s="751">
        <v>1</v>
      </c>
      <c r="AL28" s="556">
        <v>414</v>
      </c>
      <c r="AM28" s="751">
        <v>1</v>
      </c>
      <c r="AN28" s="556">
        <v>414</v>
      </c>
      <c r="AO28" s="751">
        <v>1</v>
      </c>
      <c r="AP28" s="556">
        <v>414</v>
      </c>
      <c r="AQ28" s="751"/>
      <c r="AR28" s="556"/>
      <c r="AS28" s="751"/>
      <c r="AT28" s="556"/>
      <c r="AU28" s="751"/>
      <c r="AV28" s="556"/>
      <c r="AW28" s="751"/>
      <c r="AX28" s="556"/>
      <c r="AY28" s="751"/>
      <c r="AZ28" s="556"/>
      <c r="BA28" s="751"/>
      <c r="BB28" s="677"/>
      <c r="BC28" s="559"/>
      <c r="BD28" s="549"/>
      <c r="BE28" s="745" t="s">
        <v>396</v>
      </c>
      <c r="BF28" s="746"/>
      <c r="BG28" s="747">
        <v>69</v>
      </c>
      <c r="BH28" s="748">
        <v>6</v>
      </c>
      <c r="BI28" s="749" t="s">
        <v>397</v>
      </c>
      <c r="BJ28" s="750"/>
      <c r="BK28" s="556"/>
      <c r="BL28" s="751"/>
      <c r="BM28" s="556"/>
      <c r="BN28" s="751"/>
      <c r="BO28" s="556"/>
      <c r="BP28" s="751"/>
      <c r="BQ28" s="556"/>
      <c r="BR28" s="751"/>
      <c r="BS28" s="556"/>
      <c r="BT28" s="751"/>
      <c r="BU28" s="556"/>
      <c r="BV28" s="751"/>
      <c r="BW28" s="556"/>
      <c r="BX28" s="751"/>
      <c r="BY28" s="556"/>
      <c r="BZ28" s="751">
        <v>1</v>
      </c>
      <c r="CA28" s="556">
        <v>414</v>
      </c>
      <c r="CB28" s="751">
        <v>1</v>
      </c>
      <c r="CC28" s="556">
        <v>414</v>
      </c>
      <c r="CD28" s="751">
        <v>1</v>
      </c>
      <c r="CE28" s="556">
        <v>414</v>
      </c>
      <c r="CF28" s="751">
        <v>0.5</v>
      </c>
      <c r="CG28" s="556">
        <v>207</v>
      </c>
      <c r="CH28" s="751">
        <v>1</v>
      </c>
      <c r="CI28" s="556">
        <v>414</v>
      </c>
      <c r="CJ28" s="751">
        <v>1</v>
      </c>
      <c r="CK28" s="556">
        <v>414</v>
      </c>
      <c r="CL28" s="751">
        <v>1</v>
      </c>
      <c r="CM28" s="556">
        <v>414</v>
      </c>
      <c r="CN28" s="751">
        <v>1</v>
      </c>
      <c r="CO28" s="556">
        <v>414</v>
      </c>
      <c r="CP28" s="751">
        <v>1</v>
      </c>
      <c r="CQ28" s="556">
        <v>414</v>
      </c>
      <c r="CR28" s="751">
        <v>1</v>
      </c>
      <c r="CS28" s="556">
        <v>414</v>
      </c>
      <c r="CT28" s="751"/>
      <c r="CU28" s="556"/>
      <c r="CV28" s="751"/>
      <c r="CW28" s="556"/>
      <c r="CX28" s="751"/>
      <c r="CY28" s="556"/>
      <c r="CZ28" s="751"/>
      <c r="DA28" s="556"/>
      <c r="DB28" s="751"/>
      <c r="DC28" s="556"/>
      <c r="DD28" s="751"/>
      <c r="DE28" s="677"/>
      <c r="DF28" s="559"/>
      <c r="DG28" s="549"/>
      <c r="DH28" s="745" t="s">
        <v>396</v>
      </c>
      <c r="DI28" s="746"/>
      <c r="DJ28" s="747">
        <v>69</v>
      </c>
      <c r="DK28" s="748">
        <v>6</v>
      </c>
      <c r="DL28" s="749" t="s">
        <v>397</v>
      </c>
      <c r="DM28" s="750"/>
      <c r="DN28" s="556"/>
      <c r="DO28" s="751"/>
      <c r="DP28" s="556"/>
      <c r="DQ28" s="751"/>
      <c r="DR28" s="556"/>
      <c r="DS28" s="751"/>
      <c r="DT28" s="556"/>
      <c r="DU28" s="751"/>
      <c r="DV28" s="556"/>
      <c r="DW28" s="751"/>
      <c r="DX28" s="556"/>
      <c r="DY28" s="751"/>
      <c r="DZ28" s="556"/>
      <c r="EA28" s="751"/>
      <c r="EB28" s="556"/>
      <c r="EC28" s="751">
        <v>1</v>
      </c>
      <c r="ED28" s="556">
        <v>414</v>
      </c>
      <c r="EE28" s="751">
        <v>1</v>
      </c>
      <c r="EF28" s="556">
        <v>414</v>
      </c>
      <c r="EG28" s="751">
        <v>1</v>
      </c>
      <c r="EH28" s="556">
        <v>414</v>
      </c>
      <c r="EI28" s="751">
        <v>0.5</v>
      </c>
      <c r="EJ28" s="556">
        <v>207</v>
      </c>
      <c r="EK28" s="751">
        <v>1</v>
      </c>
      <c r="EL28" s="556">
        <v>414</v>
      </c>
      <c r="EM28" s="751">
        <v>1</v>
      </c>
      <c r="EN28" s="556">
        <v>414</v>
      </c>
      <c r="EO28" s="751">
        <v>1</v>
      </c>
      <c r="EP28" s="556">
        <v>414</v>
      </c>
      <c r="EQ28" s="751">
        <v>1</v>
      </c>
      <c r="ER28" s="556">
        <v>414</v>
      </c>
      <c r="ES28" s="751">
        <v>1</v>
      </c>
      <c r="ET28" s="556">
        <v>414</v>
      </c>
      <c r="EU28" s="751">
        <v>1</v>
      </c>
      <c r="EV28" s="556">
        <v>414</v>
      </c>
      <c r="EW28" s="751"/>
      <c r="EX28" s="556"/>
      <c r="EY28" s="751"/>
      <c r="EZ28" s="556"/>
      <c r="FA28" s="751"/>
      <c r="FB28" s="556"/>
      <c r="FC28" s="751"/>
      <c r="FD28" s="556"/>
      <c r="FE28" s="751"/>
      <c r="FF28" s="556"/>
      <c r="FG28" s="751"/>
      <c r="FH28" s="677"/>
      <c r="FI28" s="560"/>
      <c r="FJ28" s="561"/>
      <c r="FK28" s="745" t="s">
        <v>396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468</v>
      </c>
      <c r="GL28" s="414"/>
      <c r="GM28" s="414"/>
      <c r="GN28" s="414"/>
      <c r="GO28" s="527"/>
      <c r="GP28" s="744">
        <v>26</v>
      </c>
      <c r="GQ28" s="414" t="s">
        <v>467</v>
      </c>
      <c r="GR28" s="726"/>
      <c r="GS28" s="527"/>
      <c r="GT28" s="756"/>
      <c r="GU28" s="577" t="s">
        <v>469</v>
      </c>
      <c r="GV28" s="606"/>
      <c r="GW28" s="527"/>
      <c r="GX28" s="526"/>
      <c r="GY28" s="410"/>
      <c r="GZ28" s="612"/>
      <c r="HA28" s="527"/>
      <c r="HB28" s="527"/>
      <c r="HC28" s="527"/>
      <c r="HD28" s="527"/>
      <c r="HE28" s="416"/>
      <c r="HF28" s="416"/>
      <c r="HG28" s="416"/>
      <c r="HH28" s="416"/>
    </row>
    <row r="29" spans="1:218" ht="20.100000000000001" customHeight="1" thickBot="1">
      <c r="A29" s="549"/>
      <c r="B29" s="757" t="s">
        <v>398</v>
      </c>
      <c r="C29" s="758"/>
      <c r="D29" s="759">
        <v>12</v>
      </c>
      <c r="E29" s="760">
        <v>54.8</v>
      </c>
      <c r="F29" s="761" t="s">
        <v>397</v>
      </c>
      <c r="G29" s="762"/>
      <c r="H29" s="584"/>
      <c r="I29" s="763"/>
      <c r="J29" s="584"/>
      <c r="K29" s="763"/>
      <c r="L29" s="584"/>
      <c r="M29" s="763"/>
      <c r="N29" s="584"/>
      <c r="O29" s="763"/>
      <c r="P29" s="584"/>
      <c r="Q29" s="763"/>
      <c r="R29" s="584"/>
      <c r="S29" s="763"/>
      <c r="T29" s="584"/>
      <c r="U29" s="763"/>
      <c r="V29" s="584"/>
      <c r="W29" s="763">
        <v>1</v>
      </c>
      <c r="X29" s="584">
        <v>658</v>
      </c>
      <c r="Y29" s="763">
        <v>1</v>
      </c>
      <c r="Z29" s="584">
        <v>658</v>
      </c>
      <c r="AA29" s="763">
        <v>1</v>
      </c>
      <c r="AB29" s="584">
        <v>658</v>
      </c>
      <c r="AC29" s="763">
        <v>1</v>
      </c>
      <c r="AD29" s="584">
        <v>658</v>
      </c>
      <c r="AE29" s="763">
        <v>1</v>
      </c>
      <c r="AF29" s="584">
        <v>658</v>
      </c>
      <c r="AG29" s="763">
        <v>1</v>
      </c>
      <c r="AH29" s="584">
        <v>658</v>
      </c>
      <c r="AI29" s="763">
        <v>1</v>
      </c>
      <c r="AJ29" s="584">
        <v>658</v>
      </c>
      <c r="AK29" s="763">
        <v>1</v>
      </c>
      <c r="AL29" s="584">
        <v>658</v>
      </c>
      <c r="AM29" s="763">
        <v>1</v>
      </c>
      <c r="AN29" s="584">
        <v>658</v>
      </c>
      <c r="AO29" s="763">
        <v>1</v>
      </c>
      <c r="AP29" s="584">
        <v>658</v>
      </c>
      <c r="AQ29" s="763"/>
      <c r="AR29" s="584"/>
      <c r="AS29" s="763"/>
      <c r="AT29" s="584"/>
      <c r="AU29" s="763"/>
      <c r="AV29" s="584"/>
      <c r="AW29" s="763"/>
      <c r="AX29" s="584"/>
      <c r="AY29" s="763"/>
      <c r="AZ29" s="584"/>
      <c r="BA29" s="763"/>
      <c r="BB29" s="586"/>
      <c r="BC29" s="559"/>
      <c r="BD29" s="549"/>
      <c r="BE29" s="757" t="s">
        <v>398</v>
      </c>
      <c r="BF29" s="758"/>
      <c r="BG29" s="759">
        <v>12</v>
      </c>
      <c r="BH29" s="760">
        <v>54.8</v>
      </c>
      <c r="BI29" s="761" t="s">
        <v>397</v>
      </c>
      <c r="BJ29" s="762"/>
      <c r="BK29" s="584"/>
      <c r="BL29" s="763"/>
      <c r="BM29" s="584"/>
      <c r="BN29" s="763"/>
      <c r="BO29" s="584"/>
      <c r="BP29" s="763"/>
      <c r="BQ29" s="584"/>
      <c r="BR29" s="763"/>
      <c r="BS29" s="584"/>
      <c r="BT29" s="763"/>
      <c r="BU29" s="584"/>
      <c r="BV29" s="763"/>
      <c r="BW29" s="584"/>
      <c r="BX29" s="763"/>
      <c r="BY29" s="584"/>
      <c r="BZ29" s="763">
        <v>1</v>
      </c>
      <c r="CA29" s="584">
        <v>658</v>
      </c>
      <c r="CB29" s="763">
        <v>1</v>
      </c>
      <c r="CC29" s="584">
        <v>658</v>
      </c>
      <c r="CD29" s="763">
        <v>1</v>
      </c>
      <c r="CE29" s="584">
        <v>658</v>
      </c>
      <c r="CF29" s="763">
        <v>1</v>
      </c>
      <c r="CG29" s="584">
        <v>658</v>
      </c>
      <c r="CH29" s="763">
        <v>1</v>
      </c>
      <c r="CI29" s="584">
        <v>658</v>
      </c>
      <c r="CJ29" s="763">
        <v>1</v>
      </c>
      <c r="CK29" s="584">
        <v>658</v>
      </c>
      <c r="CL29" s="763">
        <v>1</v>
      </c>
      <c r="CM29" s="584">
        <v>658</v>
      </c>
      <c r="CN29" s="763">
        <v>1</v>
      </c>
      <c r="CO29" s="584">
        <v>658</v>
      </c>
      <c r="CP29" s="763">
        <v>1</v>
      </c>
      <c r="CQ29" s="584">
        <v>658</v>
      </c>
      <c r="CR29" s="763">
        <v>1</v>
      </c>
      <c r="CS29" s="584">
        <v>658</v>
      </c>
      <c r="CT29" s="763"/>
      <c r="CU29" s="584"/>
      <c r="CV29" s="763"/>
      <c r="CW29" s="584"/>
      <c r="CX29" s="763"/>
      <c r="CY29" s="584"/>
      <c r="CZ29" s="763"/>
      <c r="DA29" s="584"/>
      <c r="DB29" s="763"/>
      <c r="DC29" s="584"/>
      <c r="DD29" s="763"/>
      <c r="DE29" s="586"/>
      <c r="DF29" s="559"/>
      <c r="DG29" s="549"/>
      <c r="DH29" s="757" t="s">
        <v>398</v>
      </c>
      <c r="DI29" s="758"/>
      <c r="DJ29" s="759">
        <v>12</v>
      </c>
      <c r="DK29" s="760">
        <v>54.8</v>
      </c>
      <c r="DL29" s="761" t="s">
        <v>397</v>
      </c>
      <c r="DM29" s="762"/>
      <c r="DN29" s="584"/>
      <c r="DO29" s="763"/>
      <c r="DP29" s="584"/>
      <c r="DQ29" s="763"/>
      <c r="DR29" s="584"/>
      <c r="DS29" s="763"/>
      <c r="DT29" s="584"/>
      <c r="DU29" s="763"/>
      <c r="DV29" s="584"/>
      <c r="DW29" s="763"/>
      <c r="DX29" s="584"/>
      <c r="DY29" s="763"/>
      <c r="DZ29" s="584"/>
      <c r="EA29" s="763"/>
      <c r="EB29" s="584"/>
      <c r="EC29" s="763">
        <v>1</v>
      </c>
      <c r="ED29" s="584">
        <v>658</v>
      </c>
      <c r="EE29" s="763">
        <v>1</v>
      </c>
      <c r="EF29" s="584">
        <v>658</v>
      </c>
      <c r="EG29" s="763">
        <v>1</v>
      </c>
      <c r="EH29" s="584">
        <v>658</v>
      </c>
      <c r="EI29" s="763">
        <v>1</v>
      </c>
      <c r="EJ29" s="584">
        <v>658</v>
      </c>
      <c r="EK29" s="763">
        <v>1</v>
      </c>
      <c r="EL29" s="584">
        <v>658</v>
      </c>
      <c r="EM29" s="763">
        <v>1</v>
      </c>
      <c r="EN29" s="584">
        <v>658</v>
      </c>
      <c r="EO29" s="763">
        <v>1</v>
      </c>
      <c r="EP29" s="584">
        <v>658</v>
      </c>
      <c r="EQ29" s="763">
        <v>1</v>
      </c>
      <c r="ER29" s="584">
        <v>658</v>
      </c>
      <c r="ES29" s="763">
        <v>1</v>
      </c>
      <c r="ET29" s="584">
        <v>658</v>
      </c>
      <c r="EU29" s="763">
        <v>1</v>
      </c>
      <c r="EV29" s="584">
        <v>658</v>
      </c>
      <c r="EW29" s="763"/>
      <c r="EX29" s="584"/>
      <c r="EY29" s="763"/>
      <c r="EZ29" s="584"/>
      <c r="FA29" s="763"/>
      <c r="FB29" s="584"/>
      <c r="FC29" s="763"/>
      <c r="FD29" s="584"/>
      <c r="FE29" s="763"/>
      <c r="FF29" s="584"/>
      <c r="FG29" s="763"/>
      <c r="FH29" s="586"/>
      <c r="FI29" s="560"/>
      <c r="FJ29" s="561"/>
      <c r="FK29" s="757" t="s">
        <v>398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470</v>
      </c>
      <c r="GL29" s="767"/>
      <c r="GM29" s="767"/>
      <c r="GN29" s="767"/>
      <c r="GO29" s="612"/>
      <c r="GP29" s="744">
        <v>1.3000000000000007</v>
      </c>
      <c r="GQ29" s="414" t="s">
        <v>467</v>
      </c>
      <c r="GR29" s="768"/>
      <c r="GS29" s="527"/>
      <c r="GT29" s="756"/>
      <c r="GU29" s="577" t="s">
        <v>471</v>
      </c>
      <c r="GV29" s="606"/>
      <c r="GW29" s="527"/>
      <c r="GX29" s="526"/>
      <c r="GY29" s="410"/>
      <c r="GZ29" s="527"/>
      <c r="HA29" s="577"/>
      <c r="HB29" s="577"/>
      <c r="HC29" s="576"/>
      <c r="HD29" s="527"/>
      <c r="HE29" s="416"/>
      <c r="HF29" s="416"/>
    </row>
    <row r="30" spans="1:218" ht="20.100000000000001" customHeight="1">
      <c r="A30" s="549"/>
      <c r="B30" s="757" t="s">
        <v>399</v>
      </c>
      <c r="C30" s="759">
        <v>12</v>
      </c>
      <c r="D30" s="760">
        <v>54.8</v>
      </c>
      <c r="E30" s="769">
        <v>1</v>
      </c>
      <c r="F30" s="770" t="s">
        <v>397</v>
      </c>
      <c r="G30" s="762"/>
      <c r="H30" s="584"/>
      <c r="I30" s="763"/>
      <c r="J30" s="584"/>
      <c r="K30" s="763"/>
      <c r="L30" s="584"/>
      <c r="M30" s="763"/>
      <c r="N30" s="584"/>
      <c r="O30" s="763"/>
      <c r="P30" s="584"/>
      <c r="Q30" s="763"/>
      <c r="R30" s="584"/>
      <c r="S30" s="763"/>
      <c r="T30" s="584"/>
      <c r="U30" s="763"/>
      <c r="V30" s="584"/>
      <c r="W30" s="763">
        <v>1</v>
      </c>
      <c r="X30" s="584">
        <v>658</v>
      </c>
      <c r="Y30" s="763">
        <v>1</v>
      </c>
      <c r="Z30" s="584">
        <v>658</v>
      </c>
      <c r="AA30" s="763">
        <v>1</v>
      </c>
      <c r="AB30" s="584">
        <v>658</v>
      </c>
      <c r="AC30" s="763">
        <v>1</v>
      </c>
      <c r="AD30" s="584">
        <v>658</v>
      </c>
      <c r="AE30" s="763">
        <v>1</v>
      </c>
      <c r="AF30" s="584">
        <v>658</v>
      </c>
      <c r="AG30" s="763">
        <v>1</v>
      </c>
      <c r="AH30" s="584">
        <v>658</v>
      </c>
      <c r="AI30" s="763">
        <v>1</v>
      </c>
      <c r="AJ30" s="584">
        <v>658</v>
      </c>
      <c r="AK30" s="763">
        <v>1</v>
      </c>
      <c r="AL30" s="584">
        <v>658</v>
      </c>
      <c r="AM30" s="763">
        <v>1</v>
      </c>
      <c r="AN30" s="584">
        <v>658</v>
      </c>
      <c r="AO30" s="763">
        <v>1</v>
      </c>
      <c r="AP30" s="584">
        <v>658</v>
      </c>
      <c r="AQ30" s="763"/>
      <c r="AR30" s="584"/>
      <c r="AS30" s="763"/>
      <c r="AT30" s="584"/>
      <c r="AU30" s="763"/>
      <c r="AV30" s="584"/>
      <c r="AW30" s="763"/>
      <c r="AX30" s="584"/>
      <c r="AY30" s="763"/>
      <c r="AZ30" s="584"/>
      <c r="BA30" s="763"/>
      <c r="BB30" s="586"/>
      <c r="BC30" s="559"/>
      <c r="BD30" s="549"/>
      <c r="BE30" s="757" t="s">
        <v>399</v>
      </c>
      <c r="BF30" s="759">
        <v>12</v>
      </c>
      <c r="BG30" s="760">
        <v>54.8</v>
      </c>
      <c r="BH30" s="769">
        <v>1</v>
      </c>
      <c r="BI30" s="770" t="s">
        <v>397</v>
      </c>
      <c r="BJ30" s="762"/>
      <c r="BK30" s="584"/>
      <c r="BL30" s="763"/>
      <c r="BM30" s="584"/>
      <c r="BN30" s="763"/>
      <c r="BO30" s="584"/>
      <c r="BP30" s="763"/>
      <c r="BQ30" s="584"/>
      <c r="BR30" s="763"/>
      <c r="BS30" s="584"/>
      <c r="BT30" s="763"/>
      <c r="BU30" s="584"/>
      <c r="BV30" s="763"/>
      <c r="BW30" s="584"/>
      <c r="BX30" s="763"/>
      <c r="BY30" s="584"/>
      <c r="BZ30" s="763">
        <v>1</v>
      </c>
      <c r="CA30" s="584">
        <v>658</v>
      </c>
      <c r="CB30" s="763">
        <v>1</v>
      </c>
      <c r="CC30" s="584">
        <v>658</v>
      </c>
      <c r="CD30" s="763">
        <v>1</v>
      </c>
      <c r="CE30" s="584">
        <v>658</v>
      </c>
      <c r="CF30" s="763">
        <v>1</v>
      </c>
      <c r="CG30" s="584">
        <v>658</v>
      </c>
      <c r="CH30" s="763">
        <v>1</v>
      </c>
      <c r="CI30" s="584">
        <v>658</v>
      </c>
      <c r="CJ30" s="763">
        <v>1</v>
      </c>
      <c r="CK30" s="584">
        <v>658</v>
      </c>
      <c r="CL30" s="763">
        <v>1</v>
      </c>
      <c r="CM30" s="584">
        <v>658</v>
      </c>
      <c r="CN30" s="763">
        <v>1</v>
      </c>
      <c r="CO30" s="584">
        <v>658</v>
      </c>
      <c r="CP30" s="763">
        <v>1</v>
      </c>
      <c r="CQ30" s="584">
        <v>658</v>
      </c>
      <c r="CR30" s="763">
        <v>1</v>
      </c>
      <c r="CS30" s="584">
        <v>658</v>
      </c>
      <c r="CT30" s="763"/>
      <c r="CU30" s="584"/>
      <c r="CV30" s="763"/>
      <c r="CW30" s="584"/>
      <c r="CX30" s="763"/>
      <c r="CY30" s="584"/>
      <c r="CZ30" s="763"/>
      <c r="DA30" s="584"/>
      <c r="DB30" s="763"/>
      <c r="DC30" s="584"/>
      <c r="DD30" s="763"/>
      <c r="DE30" s="586"/>
      <c r="DF30" s="559"/>
      <c r="DG30" s="549"/>
      <c r="DH30" s="757" t="s">
        <v>399</v>
      </c>
      <c r="DI30" s="759">
        <v>12</v>
      </c>
      <c r="DJ30" s="760">
        <v>54.8</v>
      </c>
      <c r="DK30" s="769">
        <v>1</v>
      </c>
      <c r="DL30" s="770" t="s">
        <v>397</v>
      </c>
      <c r="DM30" s="762"/>
      <c r="DN30" s="584"/>
      <c r="DO30" s="763"/>
      <c r="DP30" s="584"/>
      <c r="DQ30" s="763"/>
      <c r="DR30" s="584"/>
      <c r="DS30" s="763"/>
      <c r="DT30" s="584"/>
      <c r="DU30" s="763"/>
      <c r="DV30" s="584"/>
      <c r="DW30" s="763"/>
      <c r="DX30" s="584"/>
      <c r="DY30" s="763"/>
      <c r="DZ30" s="584"/>
      <c r="EA30" s="763"/>
      <c r="EB30" s="584"/>
      <c r="EC30" s="763">
        <v>1</v>
      </c>
      <c r="ED30" s="584">
        <v>658</v>
      </c>
      <c r="EE30" s="763">
        <v>1</v>
      </c>
      <c r="EF30" s="584">
        <v>658</v>
      </c>
      <c r="EG30" s="763">
        <v>1</v>
      </c>
      <c r="EH30" s="584">
        <v>658</v>
      </c>
      <c r="EI30" s="763">
        <v>1</v>
      </c>
      <c r="EJ30" s="584">
        <v>658</v>
      </c>
      <c r="EK30" s="763">
        <v>1</v>
      </c>
      <c r="EL30" s="584">
        <v>658</v>
      </c>
      <c r="EM30" s="763">
        <v>1</v>
      </c>
      <c r="EN30" s="584">
        <v>658</v>
      </c>
      <c r="EO30" s="763">
        <v>1</v>
      </c>
      <c r="EP30" s="584">
        <v>658</v>
      </c>
      <c r="EQ30" s="763">
        <v>1</v>
      </c>
      <c r="ER30" s="584">
        <v>658</v>
      </c>
      <c r="ES30" s="763">
        <v>1</v>
      </c>
      <c r="ET30" s="584">
        <v>658</v>
      </c>
      <c r="EU30" s="763">
        <v>1</v>
      </c>
      <c r="EV30" s="584">
        <v>658</v>
      </c>
      <c r="EW30" s="763"/>
      <c r="EX30" s="584"/>
      <c r="EY30" s="763"/>
      <c r="EZ30" s="584"/>
      <c r="FA30" s="763"/>
      <c r="FB30" s="584"/>
      <c r="FC30" s="763"/>
      <c r="FD30" s="584"/>
      <c r="FE30" s="763"/>
      <c r="FF30" s="584"/>
      <c r="FG30" s="763"/>
      <c r="FH30" s="586"/>
      <c r="FI30" s="560"/>
      <c r="FJ30" s="561"/>
      <c r="FK30" s="757" t="s">
        <v>399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472</v>
      </c>
      <c r="GL30" s="767"/>
      <c r="GM30" s="767"/>
      <c r="GN30" s="767"/>
      <c r="GO30" s="527"/>
      <c r="GP30" s="771">
        <v>0</v>
      </c>
      <c r="GQ30" s="414"/>
      <c r="GR30" s="414"/>
      <c r="GS30" s="527"/>
      <c r="GT30" s="756"/>
      <c r="GU30" s="772" t="s">
        <v>366</v>
      </c>
      <c r="GV30" s="773"/>
      <c r="GW30" s="774" t="s">
        <v>473</v>
      </c>
      <c r="GX30" s="774"/>
      <c r="GY30" s="774"/>
      <c r="GZ30" s="774"/>
      <c r="HA30" s="775"/>
      <c r="HB30" s="776" t="s">
        <v>474</v>
      </c>
      <c r="HC30" s="576"/>
      <c r="HD30" s="559"/>
      <c r="HE30" s="416"/>
      <c r="HF30" s="416"/>
    </row>
    <row r="31" spans="1:218" ht="20.100000000000001" customHeight="1">
      <c r="A31" s="549"/>
      <c r="B31" s="777" t="s">
        <v>400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475</v>
      </c>
      <c r="GL31" s="414"/>
      <c r="GM31" s="577"/>
      <c r="GN31" s="414"/>
      <c r="GO31" s="577"/>
      <c r="GP31" s="771">
        <v>0</v>
      </c>
      <c r="GQ31" s="414"/>
      <c r="GR31" s="414"/>
      <c r="GS31" s="577"/>
      <c r="GT31" s="756"/>
      <c r="GU31" s="772"/>
      <c r="GV31" s="773"/>
      <c r="GW31" s="782" t="s">
        <v>476</v>
      </c>
      <c r="GX31" s="783" t="s">
        <v>477</v>
      </c>
      <c r="GY31" s="784" t="s">
        <v>478</v>
      </c>
      <c r="GZ31" s="785" t="s">
        <v>479</v>
      </c>
      <c r="HA31" s="785" t="s">
        <v>455</v>
      </c>
      <c r="HB31" s="786"/>
      <c r="HC31" s="576"/>
      <c r="HD31" s="559"/>
      <c r="HE31" s="416"/>
      <c r="HF31" s="416"/>
    </row>
    <row r="32" spans="1:218" ht="20.100000000000001" customHeight="1">
      <c r="A32" s="549"/>
      <c r="B32" s="787" t="s">
        <v>401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1730</v>
      </c>
      <c r="Y33" s="643"/>
      <c r="Z33" s="642">
        <v>1730</v>
      </c>
      <c r="AA33" s="643"/>
      <c r="AB33" s="642">
        <v>1730</v>
      </c>
      <c r="AC33" s="643"/>
      <c r="AD33" s="642">
        <v>1523</v>
      </c>
      <c r="AE33" s="643"/>
      <c r="AF33" s="642">
        <v>1730</v>
      </c>
      <c r="AG33" s="643"/>
      <c r="AH33" s="642">
        <v>1730</v>
      </c>
      <c r="AI33" s="643"/>
      <c r="AJ33" s="642">
        <v>1730</v>
      </c>
      <c r="AK33" s="643"/>
      <c r="AL33" s="642">
        <v>1730</v>
      </c>
      <c r="AM33" s="643"/>
      <c r="AN33" s="642">
        <v>1730</v>
      </c>
      <c r="AO33" s="643"/>
      <c r="AP33" s="642">
        <v>1730</v>
      </c>
      <c r="AQ33" s="643"/>
      <c r="AR33" s="642">
        <v>0</v>
      </c>
      <c r="AS33" s="643"/>
      <c r="AT33" s="642">
        <v>0</v>
      </c>
      <c r="AU33" s="643"/>
      <c r="AV33" s="642">
        <v>0</v>
      </c>
      <c r="AW33" s="643"/>
      <c r="AX33" s="642">
        <v>0</v>
      </c>
      <c r="AY33" s="643"/>
      <c r="AZ33" s="642">
        <v>0</v>
      </c>
      <c r="BA33" s="643"/>
      <c r="BB33" s="644">
        <v>0</v>
      </c>
      <c r="BC33" s="645"/>
      <c r="BD33" s="638"/>
      <c r="BE33" s="639"/>
      <c r="BF33" s="639"/>
      <c r="BG33" s="640" t="s">
        <v>402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1730</v>
      </c>
      <c r="CB33" s="643"/>
      <c r="CC33" s="642">
        <v>1730</v>
      </c>
      <c r="CD33" s="643"/>
      <c r="CE33" s="642">
        <v>1730</v>
      </c>
      <c r="CF33" s="643"/>
      <c r="CG33" s="642">
        <v>1523</v>
      </c>
      <c r="CH33" s="643"/>
      <c r="CI33" s="642">
        <v>1730</v>
      </c>
      <c r="CJ33" s="643"/>
      <c r="CK33" s="642">
        <v>1730</v>
      </c>
      <c r="CL33" s="643"/>
      <c r="CM33" s="642">
        <v>1730</v>
      </c>
      <c r="CN33" s="643"/>
      <c r="CO33" s="642">
        <v>1730</v>
      </c>
      <c r="CP33" s="643"/>
      <c r="CQ33" s="642">
        <v>1730</v>
      </c>
      <c r="CR33" s="643"/>
      <c r="CS33" s="642">
        <v>1730</v>
      </c>
      <c r="CT33" s="643"/>
      <c r="CU33" s="642">
        <v>0</v>
      </c>
      <c r="CV33" s="643"/>
      <c r="CW33" s="642">
        <v>0</v>
      </c>
      <c r="CX33" s="643"/>
      <c r="CY33" s="642">
        <v>0</v>
      </c>
      <c r="CZ33" s="643"/>
      <c r="DA33" s="642">
        <v>0</v>
      </c>
      <c r="DB33" s="643"/>
      <c r="DC33" s="642">
        <v>0</v>
      </c>
      <c r="DD33" s="643"/>
      <c r="DE33" s="644">
        <v>0</v>
      </c>
      <c r="DF33" s="645"/>
      <c r="DG33" s="638"/>
      <c r="DH33" s="639"/>
      <c r="DI33" s="639"/>
      <c r="DJ33" s="640" t="s">
        <v>402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1730</v>
      </c>
      <c r="EE33" s="643"/>
      <c r="EF33" s="642">
        <v>1730</v>
      </c>
      <c r="EG33" s="643"/>
      <c r="EH33" s="642">
        <v>1730</v>
      </c>
      <c r="EI33" s="643"/>
      <c r="EJ33" s="642">
        <v>1523</v>
      </c>
      <c r="EK33" s="643"/>
      <c r="EL33" s="642">
        <v>1730</v>
      </c>
      <c r="EM33" s="643"/>
      <c r="EN33" s="642">
        <v>1730</v>
      </c>
      <c r="EO33" s="643"/>
      <c r="EP33" s="642">
        <v>1730</v>
      </c>
      <c r="EQ33" s="643"/>
      <c r="ER33" s="642">
        <v>1730</v>
      </c>
      <c r="ES33" s="643"/>
      <c r="ET33" s="642">
        <v>1730</v>
      </c>
      <c r="EU33" s="643"/>
      <c r="EV33" s="642">
        <v>1730</v>
      </c>
      <c r="EW33" s="643"/>
      <c r="EX33" s="642">
        <v>0</v>
      </c>
      <c r="EY33" s="643"/>
      <c r="EZ33" s="642">
        <v>0</v>
      </c>
      <c r="FA33" s="643"/>
      <c r="FB33" s="642">
        <v>0</v>
      </c>
      <c r="FC33" s="643"/>
      <c r="FD33" s="642">
        <v>0</v>
      </c>
      <c r="FE33" s="643"/>
      <c r="FF33" s="642">
        <v>0</v>
      </c>
      <c r="FG33" s="643"/>
      <c r="FH33" s="644">
        <v>0</v>
      </c>
      <c r="FI33" s="646"/>
      <c r="FJ33" s="561"/>
      <c r="FK33" s="639"/>
      <c r="FL33" s="639"/>
      <c r="FM33" s="640" t="s">
        <v>402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480</v>
      </c>
      <c r="GL33" s="576"/>
      <c r="GM33" s="527"/>
      <c r="GN33" s="576"/>
      <c r="GO33" s="527"/>
      <c r="GP33" s="527"/>
      <c r="GQ33" s="527"/>
      <c r="GR33" s="576"/>
      <c r="GS33" s="527"/>
      <c r="GT33" s="756"/>
      <c r="GU33" s="804">
        <v>201</v>
      </c>
      <c r="GV33" s="805"/>
      <c r="GW33" s="806">
        <v>45.36</v>
      </c>
      <c r="GX33" s="807">
        <v>42.839999999999996</v>
      </c>
      <c r="GY33" s="807">
        <v>85.789999999999992</v>
      </c>
      <c r="GZ33" s="807">
        <v>0</v>
      </c>
      <c r="HA33" s="807">
        <v>173.98999999999998</v>
      </c>
      <c r="HB33" s="808">
        <v>54.8</v>
      </c>
      <c r="HC33" s="414"/>
      <c r="HD33" s="645"/>
      <c r="HE33" s="416"/>
      <c r="HF33" s="416"/>
    </row>
    <row r="34" spans="1:219" ht="20.100000000000001" customHeight="1">
      <c r="A34" s="809" t="s">
        <v>403</v>
      </c>
      <c r="B34" s="736"/>
      <c r="C34" s="810"/>
      <c r="D34" s="811"/>
      <c r="E34" s="810"/>
      <c r="F34" s="812"/>
      <c r="G34" s="733" t="s">
        <v>404</v>
      </c>
      <c r="H34" s="660" t="s">
        <v>393</v>
      </c>
      <c r="I34" s="734" t="s">
        <v>404</v>
      </c>
      <c r="J34" s="660" t="s">
        <v>393</v>
      </c>
      <c r="K34" s="735" t="s">
        <v>404</v>
      </c>
      <c r="L34" s="660" t="s">
        <v>393</v>
      </c>
      <c r="M34" s="735" t="s">
        <v>404</v>
      </c>
      <c r="N34" s="660" t="s">
        <v>393</v>
      </c>
      <c r="O34" s="735" t="s">
        <v>404</v>
      </c>
      <c r="P34" s="660" t="s">
        <v>393</v>
      </c>
      <c r="Q34" s="735" t="s">
        <v>404</v>
      </c>
      <c r="R34" s="660" t="s">
        <v>393</v>
      </c>
      <c r="S34" s="735" t="s">
        <v>404</v>
      </c>
      <c r="T34" s="660" t="s">
        <v>393</v>
      </c>
      <c r="U34" s="735" t="s">
        <v>404</v>
      </c>
      <c r="V34" s="660" t="s">
        <v>393</v>
      </c>
      <c r="W34" s="735" t="s">
        <v>404</v>
      </c>
      <c r="X34" s="660" t="s">
        <v>393</v>
      </c>
      <c r="Y34" s="735" t="s">
        <v>404</v>
      </c>
      <c r="Z34" s="660" t="s">
        <v>393</v>
      </c>
      <c r="AA34" s="735" t="s">
        <v>404</v>
      </c>
      <c r="AB34" s="660" t="s">
        <v>393</v>
      </c>
      <c r="AC34" s="735" t="s">
        <v>404</v>
      </c>
      <c r="AD34" s="660" t="s">
        <v>393</v>
      </c>
      <c r="AE34" s="735" t="s">
        <v>404</v>
      </c>
      <c r="AF34" s="660" t="s">
        <v>393</v>
      </c>
      <c r="AG34" s="735" t="s">
        <v>404</v>
      </c>
      <c r="AH34" s="660" t="s">
        <v>393</v>
      </c>
      <c r="AI34" s="735" t="s">
        <v>404</v>
      </c>
      <c r="AJ34" s="660" t="s">
        <v>393</v>
      </c>
      <c r="AK34" s="735" t="s">
        <v>404</v>
      </c>
      <c r="AL34" s="660" t="s">
        <v>393</v>
      </c>
      <c r="AM34" s="735" t="s">
        <v>404</v>
      </c>
      <c r="AN34" s="660" t="s">
        <v>393</v>
      </c>
      <c r="AO34" s="735" t="s">
        <v>404</v>
      </c>
      <c r="AP34" s="660" t="s">
        <v>393</v>
      </c>
      <c r="AQ34" s="735" t="s">
        <v>404</v>
      </c>
      <c r="AR34" s="660" t="s">
        <v>393</v>
      </c>
      <c r="AS34" s="735" t="s">
        <v>404</v>
      </c>
      <c r="AT34" s="660" t="s">
        <v>393</v>
      </c>
      <c r="AU34" s="735" t="s">
        <v>404</v>
      </c>
      <c r="AV34" s="660" t="s">
        <v>393</v>
      </c>
      <c r="AW34" s="735" t="s">
        <v>404</v>
      </c>
      <c r="AX34" s="660" t="s">
        <v>393</v>
      </c>
      <c r="AY34" s="735" t="s">
        <v>404</v>
      </c>
      <c r="AZ34" s="660" t="s">
        <v>393</v>
      </c>
      <c r="BA34" s="735" t="s">
        <v>404</v>
      </c>
      <c r="BB34" s="662" t="s">
        <v>393</v>
      </c>
      <c r="BC34" s="716"/>
      <c r="BD34" s="809" t="s">
        <v>403</v>
      </c>
      <c r="BE34" s="731"/>
      <c r="BF34" s="813"/>
      <c r="BG34" s="814"/>
      <c r="BH34" s="813"/>
      <c r="BI34" s="815"/>
      <c r="BJ34" s="733" t="s">
        <v>404</v>
      </c>
      <c r="BK34" s="660" t="s">
        <v>393</v>
      </c>
      <c r="BL34" s="734" t="s">
        <v>404</v>
      </c>
      <c r="BM34" s="660" t="s">
        <v>393</v>
      </c>
      <c r="BN34" s="735" t="s">
        <v>404</v>
      </c>
      <c r="BO34" s="660" t="s">
        <v>393</v>
      </c>
      <c r="BP34" s="735" t="s">
        <v>404</v>
      </c>
      <c r="BQ34" s="660" t="s">
        <v>393</v>
      </c>
      <c r="BR34" s="735" t="s">
        <v>404</v>
      </c>
      <c r="BS34" s="660" t="s">
        <v>393</v>
      </c>
      <c r="BT34" s="735" t="s">
        <v>404</v>
      </c>
      <c r="BU34" s="660" t="s">
        <v>393</v>
      </c>
      <c r="BV34" s="735" t="s">
        <v>404</v>
      </c>
      <c r="BW34" s="660" t="s">
        <v>393</v>
      </c>
      <c r="BX34" s="735" t="s">
        <v>404</v>
      </c>
      <c r="BY34" s="660" t="s">
        <v>393</v>
      </c>
      <c r="BZ34" s="735" t="s">
        <v>404</v>
      </c>
      <c r="CA34" s="660" t="s">
        <v>393</v>
      </c>
      <c r="CB34" s="735" t="s">
        <v>404</v>
      </c>
      <c r="CC34" s="660" t="s">
        <v>393</v>
      </c>
      <c r="CD34" s="735" t="s">
        <v>404</v>
      </c>
      <c r="CE34" s="660" t="s">
        <v>393</v>
      </c>
      <c r="CF34" s="735" t="s">
        <v>404</v>
      </c>
      <c r="CG34" s="660" t="s">
        <v>393</v>
      </c>
      <c r="CH34" s="735" t="s">
        <v>404</v>
      </c>
      <c r="CI34" s="660" t="s">
        <v>393</v>
      </c>
      <c r="CJ34" s="735" t="s">
        <v>404</v>
      </c>
      <c r="CK34" s="660" t="s">
        <v>393</v>
      </c>
      <c r="CL34" s="735" t="s">
        <v>404</v>
      </c>
      <c r="CM34" s="660" t="s">
        <v>393</v>
      </c>
      <c r="CN34" s="735" t="s">
        <v>404</v>
      </c>
      <c r="CO34" s="660" t="s">
        <v>393</v>
      </c>
      <c r="CP34" s="735" t="s">
        <v>404</v>
      </c>
      <c r="CQ34" s="660" t="s">
        <v>393</v>
      </c>
      <c r="CR34" s="735" t="s">
        <v>404</v>
      </c>
      <c r="CS34" s="660" t="s">
        <v>393</v>
      </c>
      <c r="CT34" s="735" t="s">
        <v>404</v>
      </c>
      <c r="CU34" s="660" t="s">
        <v>393</v>
      </c>
      <c r="CV34" s="735" t="s">
        <v>404</v>
      </c>
      <c r="CW34" s="660" t="s">
        <v>393</v>
      </c>
      <c r="CX34" s="735" t="s">
        <v>404</v>
      </c>
      <c r="CY34" s="660" t="s">
        <v>393</v>
      </c>
      <c r="CZ34" s="735" t="s">
        <v>404</v>
      </c>
      <c r="DA34" s="660" t="s">
        <v>393</v>
      </c>
      <c r="DB34" s="735" t="s">
        <v>404</v>
      </c>
      <c r="DC34" s="660" t="s">
        <v>393</v>
      </c>
      <c r="DD34" s="735" t="s">
        <v>404</v>
      </c>
      <c r="DE34" s="662" t="s">
        <v>393</v>
      </c>
      <c r="DF34" s="716"/>
      <c r="DG34" s="809" t="s">
        <v>403</v>
      </c>
      <c r="DH34" s="731"/>
      <c r="DI34" s="813"/>
      <c r="DJ34" s="814"/>
      <c r="DK34" s="813"/>
      <c r="DL34" s="815"/>
      <c r="DM34" s="733" t="s">
        <v>404</v>
      </c>
      <c r="DN34" s="660" t="s">
        <v>393</v>
      </c>
      <c r="DO34" s="734" t="s">
        <v>404</v>
      </c>
      <c r="DP34" s="660" t="s">
        <v>393</v>
      </c>
      <c r="DQ34" s="735" t="s">
        <v>404</v>
      </c>
      <c r="DR34" s="660" t="s">
        <v>393</v>
      </c>
      <c r="DS34" s="735" t="s">
        <v>404</v>
      </c>
      <c r="DT34" s="660" t="s">
        <v>393</v>
      </c>
      <c r="DU34" s="735" t="s">
        <v>404</v>
      </c>
      <c r="DV34" s="660" t="s">
        <v>393</v>
      </c>
      <c r="DW34" s="735" t="s">
        <v>404</v>
      </c>
      <c r="DX34" s="660" t="s">
        <v>393</v>
      </c>
      <c r="DY34" s="735" t="s">
        <v>404</v>
      </c>
      <c r="DZ34" s="660" t="s">
        <v>393</v>
      </c>
      <c r="EA34" s="735" t="s">
        <v>404</v>
      </c>
      <c r="EB34" s="660" t="s">
        <v>393</v>
      </c>
      <c r="EC34" s="735" t="s">
        <v>404</v>
      </c>
      <c r="ED34" s="660" t="s">
        <v>393</v>
      </c>
      <c r="EE34" s="735" t="s">
        <v>404</v>
      </c>
      <c r="EF34" s="660" t="s">
        <v>393</v>
      </c>
      <c r="EG34" s="735" t="s">
        <v>404</v>
      </c>
      <c r="EH34" s="660" t="s">
        <v>393</v>
      </c>
      <c r="EI34" s="735" t="s">
        <v>404</v>
      </c>
      <c r="EJ34" s="660" t="s">
        <v>393</v>
      </c>
      <c r="EK34" s="735" t="s">
        <v>404</v>
      </c>
      <c r="EL34" s="660" t="s">
        <v>393</v>
      </c>
      <c r="EM34" s="735" t="s">
        <v>404</v>
      </c>
      <c r="EN34" s="660" t="s">
        <v>393</v>
      </c>
      <c r="EO34" s="735" t="s">
        <v>404</v>
      </c>
      <c r="EP34" s="660" t="s">
        <v>393</v>
      </c>
      <c r="EQ34" s="735" t="s">
        <v>404</v>
      </c>
      <c r="ER34" s="660" t="s">
        <v>393</v>
      </c>
      <c r="ES34" s="735" t="s">
        <v>404</v>
      </c>
      <c r="ET34" s="660" t="s">
        <v>393</v>
      </c>
      <c r="EU34" s="735" t="s">
        <v>404</v>
      </c>
      <c r="EV34" s="660" t="s">
        <v>393</v>
      </c>
      <c r="EW34" s="735" t="s">
        <v>404</v>
      </c>
      <c r="EX34" s="660" t="s">
        <v>393</v>
      </c>
      <c r="EY34" s="735" t="s">
        <v>404</v>
      </c>
      <c r="EZ34" s="660" t="s">
        <v>393</v>
      </c>
      <c r="FA34" s="735" t="s">
        <v>404</v>
      </c>
      <c r="FB34" s="660" t="s">
        <v>393</v>
      </c>
      <c r="FC34" s="735" t="s">
        <v>404</v>
      </c>
      <c r="FD34" s="660" t="s">
        <v>393</v>
      </c>
      <c r="FE34" s="735" t="s">
        <v>404</v>
      </c>
      <c r="FF34" s="660" t="s">
        <v>393</v>
      </c>
      <c r="FG34" s="735" t="s">
        <v>404</v>
      </c>
      <c r="FH34" s="662" t="s">
        <v>393</v>
      </c>
      <c r="FI34" s="739"/>
      <c r="FJ34" s="816" t="s">
        <v>403</v>
      </c>
      <c r="FK34" s="731"/>
      <c r="FL34" s="813"/>
      <c r="FM34" s="814"/>
      <c r="FN34" s="813"/>
      <c r="FO34" s="815"/>
      <c r="FP34" s="740" t="s">
        <v>394</v>
      </c>
      <c r="FQ34" s="666" t="s">
        <v>404</v>
      </c>
      <c r="FR34" s="660" t="s">
        <v>395</v>
      </c>
      <c r="FS34" s="741" t="s">
        <v>394</v>
      </c>
      <c r="FT34" s="666" t="s">
        <v>404</v>
      </c>
      <c r="FU34" s="668" t="s">
        <v>395</v>
      </c>
      <c r="FV34" s="590"/>
      <c r="FW34" s="591"/>
      <c r="FX34" s="799"/>
      <c r="FY34" s="593"/>
      <c r="FZ34" s="800"/>
      <c r="GA34" s="595"/>
      <c r="GB34" s="801"/>
      <c r="GC34" s="597"/>
      <c r="GD34" s="801"/>
      <c r="GE34" s="598"/>
      <c r="GF34" s="742"/>
      <c r="GG34" s="743"/>
      <c r="GH34" s="743"/>
      <c r="GI34" s="743"/>
      <c r="GJ34" s="576"/>
      <c r="GK34" s="817" t="s">
        <v>481</v>
      </c>
      <c r="GL34" s="817"/>
      <c r="GM34" s="817"/>
      <c r="GN34" s="817"/>
      <c r="GO34" s="817"/>
      <c r="GP34" s="817"/>
      <c r="GQ34" s="612">
        <v>9.6</v>
      </c>
      <c r="GR34" s="576" t="s">
        <v>462</v>
      </c>
      <c r="GS34" s="577"/>
      <c r="GT34" s="756"/>
      <c r="GU34" s="818"/>
      <c r="GV34" s="819"/>
      <c r="GW34" s="820"/>
      <c r="GX34" s="630"/>
      <c r="GY34" s="630"/>
      <c r="GZ34" s="630"/>
      <c r="HA34" s="630"/>
      <c r="HB34" s="631"/>
      <c r="HC34" s="527"/>
      <c r="HD34" s="716"/>
      <c r="HE34" s="416"/>
      <c r="HF34" s="416"/>
    </row>
    <row r="35" spans="1:219" ht="20.100000000000001" customHeight="1">
      <c r="A35" s="821"/>
      <c r="B35" s="463" t="s">
        <v>405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321</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321</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321</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482</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483</v>
      </c>
      <c r="GL36" s="817"/>
      <c r="GM36" s="817"/>
      <c r="GN36" s="817"/>
      <c r="GO36" s="817"/>
      <c r="GP36" s="817"/>
      <c r="GQ36" s="612">
        <v>19.399999999999999</v>
      </c>
      <c r="GR36" s="576" t="s">
        <v>462</v>
      </c>
      <c r="GS36" s="527"/>
      <c r="GT36" s="756"/>
      <c r="GU36" s="818"/>
      <c r="GV36" s="819"/>
      <c r="GW36" s="820"/>
      <c r="GX36" s="630"/>
      <c r="GY36" s="630"/>
      <c r="GZ36" s="630"/>
      <c r="HA36" s="630"/>
      <c r="HB36" s="631"/>
      <c r="HC36" s="527"/>
      <c r="HD36" s="645"/>
      <c r="HE36" s="416"/>
      <c r="HF36" s="416"/>
    </row>
    <row r="37" spans="1:219" ht="24" customHeight="1">
      <c r="A37" s="842" t="s">
        <v>407</v>
      </c>
      <c r="B37" s="843"/>
      <c r="C37" s="844" t="s">
        <v>408</v>
      </c>
      <c r="D37" s="845"/>
      <c r="E37" s="846" t="s">
        <v>409</v>
      </c>
      <c r="F37" s="847"/>
      <c r="G37" s="659" t="s">
        <v>404</v>
      </c>
      <c r="H37" s="660" t="s">
        <v>410</v>
      </c>
      <c r="I37" s="661" t="s">
        <v>404</v>
      </c>
      <c r="J37" s="660" t="s">
        <v>411</v>
      </c>
      <c r="K37" s="661" t="s">
        <v>404</v>
      </c>
      <c r="L37" s="660" t="s">
        <v>411</v>
      </c>
      <c r="M37" s="661" t="s">
        <v>404</v>
      </c>
      <c r="N37" s="660" t="s">
        <v>411</v>
      </c>
      <c r="O37" s="661" t="s">
        <v>404</v>
      </c>
      <c r="P37" s="660" t="s">
        <v>411</v>
      </c>
      <c r="Q37" s="661" t="s">
        <v>404</v>
      </c>
      <c r="R37" s="660" t="s">
        <v>411</v>
      </c>
      <c r="S37" s="661" t="s">
        <v>404</v>
      </c>
      <c r="T37" s="660" t="s">
        <v>411</v>
      </c>
      <c r="U37" s="661" t="s">
        <v>404</v>
      </c>
      <c r="V37" s="660" t="s">
        <v>411</v>
      </c>
      <c r="W37" s="661" t="s">
        <v>404</v>
      </c>
      <c r="X37" s="660" t="s">
        <v>411</v>
      </c>
      <c r="Y37" s="661" t="s">
        <v>404</v>
      </c>
      <c r="Z37" s="660" t="s">
        <v>411</v>
      </c>
      <c r="AA37" s="661" t="s">
        <v>404</v>
      </c>
      <c r="AB37" s="660" t="s">
        <v>411</v>
      </c>
      <c r="AC37" s="661" t="s">
        <v>404</v>
      </c>
      <c r="AD37" s="660" t="s">
        <v>411</v>
      </c>
      <c r="AE37" s="661" t="s">
        <v>404</v>
      </c>
      <c r="AF37" s="660" t="s">
        <v>411</v>
      </c>
      <c r="AG37" s="661" t="s">
        <v>404</v>
      </c>
      <c r="AH37" s="660" t="s">
        <v>411</v>
      </c>
      <c r="AI37" s="661" t="s">
        <v>404</v>
      </c>
      <c r="AJ37" s="660" t="s">
        <v>411</v>
      </c>
      <c r="AK37" s="661" t="s">
        <v>404</v>
      </c>
      <c r="AL37" s="660" t="s">
        <v>411</v>
      </c>
      <c r="AM37" s="661" t="s">
        <v>404</v>
      </c>
      <c r="AN37" s="660" t="s">
        <v>411</v>
      </c>
      <c r="AO37" s="661" t="s">
        <v>404</v>
      </c>
      <c r="AP37" s="660" t="s">
        <v>411</v>
      </c>
      <c r="AQ37" s="661" t="s">
        <v>404</v>
      </c>
      <c r="AR37" s="660" t="s">
        <v>411</v>
      </c>
      <c r="AS37" s="661" t="s">
        <v>404</v>
      </c>
      <c r="AT37" s="660" t="s">
        <v>411</v>
      </c>
      <c r="AU37" s="661" t="s">
        <v>404</v>
      </c>
      <c r="AV37" s="660" t="s">
        <v>411</v>
      </c>
      <c r="AW37" s="661" t="s">
        <v>404</v>
      </c>
      <c r="AX37" s="660" t="s">
        <v>411</v>
      </c>
      <c r="AY37" s="661" t="s">
        <v>404</v>
      </c>
      <c r="AZ37" s="660" t="s">
        <v>411</v>
      </c>
      <c r="BA37" s="661" t="s">
        <v>404</v>
      </c>
      <c r="BB37" s="662" t="s">
        <v>411</v>
      </c>
      <c r="BC37" s="716"/>
      <c r="BD37" s="842" t="s">
        <v>407</v>
      </c>
      <c r="BE37" s="843"/>
      <c r="BF37" s="844" t="s">
        <v>408</v>
      </c>
      <c r="BG37" s="845"/>
      <c r="BH37" s="846" t="s">
        <v>409</v>
      </c>
      <c r="BI37" s="847"/>
      <c r="BJ37" s="659" t="s">
        <v>404</v>
      </c>
      <c r="BK37" s="660" t="s">
        <v>410</v>
      </c>
      <c r="BL37" s="661" t="s">
        <v>404</v>
      </c>
      <c r="BM37" s="660" t="s">
        <v>411</v>
      </c>
      <c r="BN37" s="661" t="s">
        <v>404</v>
      </c>
      <c r="BO37" s="660" t="s">
        <v>411</v>
      </c>
      <c r="BP37" s="661" t="s">
        <v>404</v>
      </c>
      <c r="BQ37" s="660" t="s">
        <v>411</v>
      </c>
      <c r="BR37" s="661" t="s">
        <v>404</v>
      </c>
      <c r="BS37" s="660" t="s">
        <v>411</v>
      </c>
      <c r="BT37" s="661" t="s">
        <v>404</v>
      </c>
      <c r="BU37" s="660" t="s">
        <v>411</v>
      </c>
      <c r="BV37" s="661" t="s">
        <v>404</v>
      </c>
      <c r="BW37" s="660" t="s">
        <v>411</v>
      </c>
      <c r="BX37" s="661" t="s">
        <v>404</v>
      </c>
      <c r="BY37" s="660" t="s">
        <v>411</v>
      </c>
      <c r="BZ37" s="661" t="s">
        <v>404</v>
      </c>
      <c r="CA37" s="660" t="s">
        <v>411</v>
      </c>
      <c r="CB37" s="661" t="s">
        <v>404</v>
      </c>
      <c r="CC37" s="660" t="s">
        <v>411</v>
      </c>
      <c r="CD37" s="661" t="s">
        <v>404</v>
      </c>
      <c r="CE37" s="660" t="s">
        <v>411</v>
      </c>
      <c r="CF37" s="661" t="s">
        <v>404</v>
      </c>
      <c r="CG37" s="660" t="s">
        <v>411</v>
      </c>
      <c r="CH37" s="661" t="s">
        <v>404</v>
      </c>
      <c r="CI37" s="660" t="s">
        <v>411</v>
      </c>
      <c r="CJ37" s="661" t="s">
        <v>404</v>
      </c>
      <c r="CK37" s="660" t="s">
        <v>411</v>
      </c>
      <c r="CL37" s="661" t="s">
        <v>404</v>
      </c>
      <c r="CM37" s="660" t="s">
        <v>411</v>
      </c>
      <c r="CN37" s="661" t="s">
        <v>404</v>
      </c>
      <c r="CO37" s="660" t="s">
        <v>411</v>
      </c>
      <c r="CP37" s="661" t="s">
        <v>404</v>
      </c>
      <c r="CQ37" s="660" t="s">
        <v>411</v>
      </c>
      <c r="CR37" s="661" t="s">
        <v>404</v>
      </c>
      <c r="CS37" s="660" t="s">
        <v>411</v>
      </c>
      <c r="CT37" s="661" t="s">
        <v>404</v>
      </c>
      <c r="CU37" s="660" t="s">
        <v>411</v>
      </c>
      <c r="CV37" s="661" t="s">
        <v>404</v>
      </c>
      <c r="CW37" s="660" t="s">
        <v>411</v>
      </c>
      <c r="CX37" s="661" t="s">
        <v>404</v>
      </c>
      <c r="CY37" s="660" t="s">
        <v>411</v>
      </c>
      <c r="CZ37" s="661" t="s">
        <v>404</v>
      </c>
      <c r="DA37" s="660" t="s">
        <v>411</v>
      </c>
      <c r="DB37" s="661" t="s">
        <v>404</v>
      </c>
      <c r="DC37" s="660" t="s">
        <v>411</v>
      </c>
      <c r="DD37" s="661" t="s">
        <v>404</v>
      </c>
      <c r="DE37" s="662" t="s">
        <v>411</v>
      </c>
      <c r="DF37" s="716"/>
      <c r="DG37" s="842" t="s">
        <v>407</v>
      </c>
      <c r="DH37" s="843"/>
      <c r="DI37" s="844" t="s">
        <v>408</v>
      </c>
      <c r="DJ37" s="845"/>
      <c r="DK37" s="846" t="s">
        <v>409</v>
      </c>
      <c r="DL37" s="847"/>
      <c r="DM37" s="659" t="s">
        <v>404</v>
      </c>
      <c r="DN37" s="660" t="s">
        <v>410</v>
      </c>
      <c r="DO37" s="661" t="s">
        <v>404</v>
      </c>
      <c r="DP37" s="660" t="s">
        <v>411</v>
      </c>
      <c r="DQ37" s="661" t="s">
        <v>404</v>
      </c>
      <c r="DR37" s="660" t="s">
        <v>411</v>
      </c>
      <c r="DS37" s="661" t="s">
        <v>404</v>
      </c>
      <c r="DT37" s="660" t="s">
        <v>411</v>
      </c>
      <c r="DU37" s="661" t="s">
        <v>404</v>
      </c>
      <c r="DV37" s="660" t="s">
        <v>411</v>
      </c>
      <c r="DW37" s="661" t="s">
        <v>404</v>
      </c>
      <c r="DX37" s="660" t="s">
        <v>411</v>
      </c>
      <c r="DY37" s="661" t="s">
        <v>404</v>
      </c>
      <c r="DZ37" s="660" t="s">
        <v>411</v>
      </c>
      <c r="EA37" s="661" t="s">
        <v>404</v>
      </c>
      <c r="EB37" s="660" t="s">
        <v>411</v>
      </c>
      <c r="EC37" s="661" t="s">
        <v>404</v>
      </c>
      <c r="ED37" s="660" t="s">
        <v>411</v>
      </c>
      <c r="EE37" s="661" t="s">
        <v>404</v>
      </c>
      <c r="EF37" s="660" t="s">
        <v>411</v>
      </c>
      <c r="EG37" s="661" t="s">
        <v>404</v>
      </c>
      <c r="EH37" s="660" t="s">
        <v>411</v>
      </c>
      <c r="EI37" s="661" t="s">
        <v>404</v>
      </c>
      <c r="EJ37" s="660" t="s">
        <v>411</v>
      </c>
      <c r="EK37" s="661" t="s">
        <v>404</v>
      </c>
      <c r="EL37" s="660" t="s">
        <v>411</v>
      </c>
      <c r="EM37" s="661" t="s">
        <v>404</v>
      </c>
      <c r="EN37" s="660" t="s">
        <v>411</v>
      </c>
      <c r="EO37" s="661" t="s">
        <v>404</v>
      </c>
      <c r="EP37" s="660" t="s">
        <v>411</v>
      </c>
      <c r="EQ37" s="661" t="s">
        <v>404</v>
      </c>
      <c r="ER37" s="660" t="s">
        <v>411</v>
      </c>
      <c r="ES37" s="661" t="s">
        <v>404</v>
      </c>
      <c r="ET37" s="660" t="s">
        <v>411</v>
      </c>
      <c r="EU37" s="661" t="s">
        <v>404</v>
      </c>
      <c r="EV37" s="660" t="s">
        <v>411</v>
      </c>
      <c r="EW37" s="661" t="s">
        <v>404</v>
      </c>
      <c r="EX37" s="660" t="s">
        <v>411</v>
      </c>
      <c r="EY37" s="661" t="s">
        <v>404</v>
      </c>
      <c r="EZ37" s="660" t="s">
        <v>411</v>
      </c>
      <c r="FA37" s="661" t="s">
        <v>404</v>
      </c>
      <c r="FB37" s="660" t="s">
        <v>411</v>
      </c>
      <c r="FC37" s="661" t="s">
        <v>404</v>
      </c>
      <c r="FD37" s="660" t="s">
        <v>411</v>
      </c>
      <c r="FE37" s="661" t="s">
        <v>404</v>
      </c>
      <c r="FF37" s="660" t="s">
        <v>411</v>
      </c>
      <c r="FG37" s="661" t="s">
        <v>404</v>
      </c>
      <c r="FH37" s="662" t="s">
        <v>411</v>
      </c>
      <c r="FI37" s="739"/>
      <c r="FJ37" s="816" t="s">
        <v>407</v>
      </c>
      <c r="FK37" s="843"/>
      <c r="FL37" s="844" t="s">
        <v>408</v>
      </c>
      <c r="FM37" s="845"/>
      <c r="FN37" s="846" t="s">
        <v>409</v>
      </c>
      <c r="FO37" s="847"/>
      <c r="FP37" s="665"/>
      <c r="FQ37" s="848" t="s">
        <v>412</v>
      </c>
      <c r="FR37" s="660" t="s">
        <v>411</v>
      </c>
      <c r="FS37" s="667"/>
      <c r="FT37" s="848" t="s">
        <v>412</v>
      </c>
      <c r="FU37" s="668" t="s">
        <v>411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260</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260</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260</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484</v>
      </c>
      <c r="GL38" s="410"/>
      <c r="GM38" s="414"/>
      <c r="GN38" s="410"/>
      <c r="GO38" s="414"/>
      <c r="GP38" s="414"/>
      <c r="GQ38" s="414"/>
      <c r="GR38" s="414"/>
      <c r="GS38" s="577"/>
      <c r="GT38" s="850"/>
      <c r="GU38" s="861" t="s">
        <v>455</v>
      </c>
      <c r="GV38" s="862"/>
      <c r="GW38" s="862"/>
      <c r="GX38" s="862"/>
      <c r="GY38" s="862"/>
      <c r="GZ38" s="863"/>
      <c r="HA38" s="630">
        <v>173.98999999999998</v>
      </c>
      <c r="HB38" s="864">
        <v>54.8</v>
      </c>
      <c r="HC38" s="527"/>
      <c r="HD38" s="527"/>
      <c r="HE38" s="388"/>
      <c r="HF38" s="388"/>
      <c r="HK38" s="416"/>
    </row>
    <row r="39" spans="1:219" ht="20.100000000000001" customHeight="1">
      <c r="A39" s="821"/>
      <c r="B39" s="865" t="s">
        <v>414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267</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267</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267</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485</v>
      </c>
      <c r="GN39" s="875"/>
      <c r="GO39" s="876" t="s">
        <v>486</v>
      </c>
      <c r="GP39" s="875"/>
      <c r="GQ39" s="876" t="s">
        <v>487</v>
      </c>
      <c r="GR39" s="877"/>
      <c r="GS39" s="414"/>
      <c r="GT39" s="682"/>
      <c r="GU39" s="527" t="s">
        <v>488</v>
      </c>
      <c r="GV39" s="527"/>
      <c r="GW39" s="527"/>
      <c r="GX39" s="527"/>
      <c r="GY39" s="527"/>
      <c r="GZ39" s="527"/>
      <c r="HA39" s="683">
        <v>3.18</v>
      </c>
      <c r="HB39" s="576"/>
      <c r="HC39" s="527"/>
      <c r="HD39" s="559"/>
    </row>
    <row r="40" spans="1:219" ht="20.100000000000001" customHeight="1">
      <c r="A40" s="878"/>
      <c r="B40" s="639"/>
      <c r="C40" s="639"/>
      <c r="D40" s="640" t="s">
        <v>415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511</v>
      </c>
      <c r="GV40" s="527"/>
      <c r="GW40" s="527"/>
      <c r="GX40" s="527"/>
      <c r="GY40" s="527"/>
      <c r="GZ40" s="527"/>
      <c r="HA40" s="883">
        <v>56.4</v>
      </c>
      <c r="HB40" s="414"/>
      <c r="HC40" s="527"/>
      <c r="HD40" s="577"/>
      <c r="HK40" s="416"/>
    </row>
    <row r="41" spans="1:219" ht="20.100000000000001" customHeight="1">
      <c r="A41" s="851" t="s">
        <v>416</v>
      </c>
      <c r="B41" s="731"/>
      <c r="C41" s="884"/>
      <c r="D41" s="884"/>
      <c r="E41" s="884"/>
      <c r="F41" s="885"/>
      <c r="G41" s="733"/>
      <c r="H41" s="660" t="s">
        <v>393</v>
      </c>
      <c r="I41" s="734"/>
      <c r="J41" s="660" t="s">
        <v>393</v>
      </c>
      <c r="K41" s="735"/>
      <c r="L41" s="660" t="s">
        <v>393</v>
      </c>
      <c r="M41" s="735"/>
      <c r="N41" s="660" t="s">
        <v>393</v>
      </c>
      <c r="O41" s="735"/>
      <c r="P41" s="660" t="s">
        <v>393</v>
      </c>
      <c r="Q41" s="735"/>
      <c r="R41" s="660" t="s">
        <v>393</v>
      </c>
      <c r="S41" s="735"/>
      <c r="T41" s="660" t="s">
        <v>393</v>
      </c>
      <c r="U41" s="735"/>
      <c r="V41" s="660" t="s">
        <v>393</v>
      </c>
      <c r="W41" s="735"/>
      <c r="X41" s="660" t="s">
        <v>393</v>
      </c>
      <c r="Y41" s="735" t="s">
        <v>404</v>
      </c>
      <c r="Z41" s="660" t="s">
        <v>393</v>
      </c>
      <c r="AA41" s="735" t="s">
        <v>404</v>
      </c>
      <c r="AB41" s="660" t="s">
        <v>393</v>
      </c>
      <c r="AC41" s="735"/>
      <c r="AD41" s="660" t="s">
        <v>393</v>
      </c>
      <c r="AE41" s="735"/>
      <c r="AF41" s="660" t="s">
        <v>393</v>
      </c>
      <c r="AG41" s="735"/>
      <c r="AH41" s="660" t="s">
        <v>393</v>
      </c>
      <c r="AI41" s="735"/>
      <c r="AJ41" s="660" t="s">
        <v>393</v>
      </c>
      <c r="AK41" s="735"/>
      <c r="AL41" s="660" t="s">
        <v>393</v>
      </c>
      <c r="AM41" s="735"/>
      <c r="AN41" s="660" t="s">
        <v>393</v>
      </c>
      <c r="AO41" s="735"/>
      <c r="AP41" s="660" t="s">
        <v>393</v>
      </c>
      <c r="AQ41" s="735"/>
      <c r="AR41" s="660" t="s">
        <v>393</v>
      </c>
      <c r="AS41" s="735"/>
      <c r="AT41" s="660" t="s">
        <v>393</v>
      </c>
      <c r="AU41" s="735"/>
      <c r="AV41" s="660" t="s">
        <v>393</v>
      </c>
      <c r="AW41" s="735"/>
      <c r="AX41" s="660" t="s">
        <v>393</v>
      </c>
      <c r="AY41" s="735"/>
      <c r="AZ41" s="660" t="s">
        <v>393</v>
      </c>
      <c r="BA41" s="735"/>
      <c r="BB41" s="662" t="s">
        <v>393</v>
      </c>
      <c r="BC41" s="716"/>
      <c r="BD41" s="851" t="s">
        <v>416</v>
      </c>
      <c r="BE41" s="731"/>
      <c r="BF41" s="884"/>
      <c r="BG41" s="884"/>
      <c r="BH41" s="884"/>
      <c r="BI41" s="885"/>
      <c r="BJ41" s="733"/>
      <c r="BK41" s="660" t="s">
        <v>393</v>
      </c>
      <c r="BL41" s="734"/>
      <c r="BM41" s="660" t="s">
        <v>393</v>
      </c>
      <c r="BN41" s="735"/>
      <c r="BO41" s="660" t="s">
        <v>393</v>
      </c>
      <c r="BP41" s="735"/>
      <c r="BQ41" s="660" t="s">
        <v>393</v>
      </c>
      <c r="BR41" s="735"/>
      <c r="BS41" s="660" t="s">
        <v>393</v>
      </c>
      <c r="BT41" s="735"/>
      <c r="BU41" s="660" t="s">
        <v>393</v>
      </c>
      <c r="BV41" s="735"/>
      <c r="BW41" s="660" t="s">
        <v>393</v>
      </c>
      <c r="BX41" s="735"/>
      <c r="BY41" s="660" t="s">
        <v>393</v>
      </c>
      <c r="BZ41" s="735"/>
      <c r="CA41" s="660" t="s">
        <v>393</v>
      </c>
      <c r="CB41" s="735" t="s">
        <v>404</v>
      </c>
      <c r="CC41" s="660" t="s">
        <v>393</v>
      </c>
      <c r="CD41" s="735" t="s">
        <v>404</v>
      </c>
      <c r="CE41" s="660" t="s">
        <v>393</v>
      </c>
      <c r="CF41" s="735"/>
      <c r="CG41" s="660" t="s">
        <v>393</v>
      </c>
      <c r="CH41" s="735"/>
      <c r="CI41" s="660" t="s">
        <v>393</v>
      </c>
      <c r="CJ41" s="735"/>
      <c r="CK41" s="660" t="s">
        <v>393</v>
      </c>
      <c r="CL41" s="735"/>
      <c r="CM41" s="660" t="s">
        <v>393</v>
      </c>
      <c r="CN41" s="735"/>
      <c r="CO41" s="660" t="s">
        <v>393</v>
      </c>
      <c r="CP41" s="735"/>
      <c r="CQ41" s="660" t="s">
        <v>393</v>
      </c>
      <c r="CR41" s="735"/>
      <c r="CS41" s="660" t="s">
        <v>393</v>
      </c>
      <c r="CT41" s="735"/>
      <c r="CU41" s="660" t="s">
        <v>393</v>
      </c>
      <c r="CV41" s="735"/>
      <c r="CW41" s="660" t="s">
        <v>393</v>
      </c>
      <c r="CX41" s="735"/>
      <c r="CY41" s="660" t="s">
        <v>393</v>
      </c>
      <c r="CZ41" s="735"/>
      <c r="DA41" s="660" t="s">
        <v>393</v>
      </c>
      <c r="DB41" s="735"/>
      <c r="DC41" s="660" t="s">
        <v>393</v>
      </c>
      <c r="DD41" s="735"/>
      <c r="DE41" s="662" t="s">
        <v>393</v>
      </c>
      <c r="DF41" s="716"/>
      <c r="DG41" s="851" t="s">
        <v>416</v>
      </c>
      <c r="DH41" s="731"/>
      <c r="DI41" s="884"/>
      <c r="DJ41" s="884"/>
      <c r="DK41" s="884"/>
      <c r="DL41" s="885"/>
      <c r="DM41" s="733"/>
      <c r="DN41" s="660" t="s">
        <v>393</v>
      </c>
      <c r="DO41" s="734"/>
      <c r="DP41" s="660" t="s">
        <v>393</v>
      </c>
      <c r="DQ41" s="735"/>
      <c r="DR41" s="660" t="s">
        <v>393</v>
      </c>
      <c r="DS41" s="735"/>
      <c r="DT41" s="660" t="s">
        <v>393</v>
      </c>
      <c r="DU41" s="735"/>
      <c r="DV41" s="660" t="s">
        <v>393</v>
      </c>
      <c r="DW41" s="735"/>
      <c r="DX41" s="660" t="s">
        <v>393</v>
      </c>
      <c r="DY41" s="735"/>
      <c r="DZ41" s="660" t="s">
        <v>393</v>
      </c>
      <c r="EA41" s="735"/>
      <c r="EB41" s="660" t="s">
        <v>393</v>
      </c>
      <c r="EC41" s="735"/>
      <c r="ED41" s="660" t="s">
        <v>393</v>
      </c>
      <c r="EE41" s="735" t="s">
        <v>404</v>
      </c>
      <c r="EF41" s="660" t="s">
        <v>393</v>
      </c>
      <c r="EG41" s="735" t="s">
        <v>404</v>
      </c>
      <c r="EH41" s="660" t="s">
        <v>393</v>
      </c>
      <c r="EI41" s="735"/>
      <c r="EJ41" s="660" t="s">
        <v>393</v>
      </c>
      <c r="EK41" s="735"/>
      <c r="EL41" s="660" t="s">
        <v>393</v>
      </c>
      <c r="EM41" s="735"/>
      <c r="EN41" s="660" t="s">
        <v>393</v>
      </c>
      <c r="EO41" s="735"/>
      <c r="EP41" s="660" t="s">
        <v>393</v>
      </c>
      <c r="EQ41" s="735"/>
      <c r="ER41" s="660" t="s">
        <v>393</v>
      </c>
      <c r="ES41" s="735"/>
      <c r="ET41" s="660" t="s">
        <v>393</v>
      </c>
      <c r="EU41" s="735"/>
      <c r="EV41" s="660" t="s">
        <v>393</v>
      </c>
      <c r="EW41" s="735"/>
      <c r="EX41" s="660" t="s">
        <v>393</v>
      </c>
      <c r="EY41" s="735"/>
      <c r="EZ41" s="660" t="s">
        <v>393</v>
      </c>
      <c r="FA41" s="735"/>
      <c r="FB41" s="660" t="s">
        <v>393</v>
      </c>
      <c r="FC41" s="735"/>
      <c r="FD41" s="660" t="s">
        <v>393</v>
      </c>
      <c r="FE41" s="735"/>
      <c r="FF41" s="660" t="s">
        <v>393</v>
      </c>
      <c r="FG41" s="735"/>
      <c r="FH41" s="662" t="s">
        <v>393</v>
      </c>
      <c r="FI41" s="739"/>
      <c r="FJ41" s="816" t="s">
        <v>416</v>
      </c>
      <c r="FK41" s="736"/>
      <c r="FL41" s="886"/>
      <c r="FM41" s="886"/>
      <c r="FN41" s="886"/>
      <c r="FO41" s="887"/>
      <c r="FP41" s="740"/>
      <c r="FQ41" s="666"/>
      <c r="FR41" s="660" t="s">
        <v>395</v>
      </c>
      <c r="FS41" s="741"/>
      <c r="FT41" s="666"/>
      <c r="FU41" s="668" t="s">
        <v>395</v>
      </c>
      <c r="FV41" s="590"/>
      <c r="FW41" s="591"/>
      <c r="FX41" s="799"/>
      <c r="FY41" s="593"/>
      <c r="FZ41" s="800"/>
      <c r="GA41" s="595"/>
      <c r="GB41" s="801"/>
      <c r="GC41" s="597"/>
      <c r="GD41" s="801"/>
      <c r="GE41" s="598"/>
      <c r="GF41" s="742"/>
      <c r="GG41" s="743"/>
      <c r="GH41" s="743"/>
      <c r="GI41" s="743"/>
      <c r="GJ41" s="577"/>
      <c r="GK41" s="888" t="s">
        <v>489</v>
      </c>
      <c r="GL41" s="889"/>
      <c r="GM41" s="890" t="s">
        <v>490</v>
      </c>
      <c r="GN41" s="890"/>
      <c r="GO41" s="890" t="s">
        <v>491</v>
      </c>
      <c r="GP41" s="890"/>
      <c r="GQ41" s="890"/>
      <c r="GR41" s="891"/>
      <c r="GS41" s="850"/>
      <c r="GT41" s="682"/>
      <c r="GU41" s="527" t="s">
        <v>512</v>
      </c>
      <c r="GV41" s="527"/>
      <c r="GW41" s="527"/>
      <c r="GX41" s="527"/>
      <c r="GY41" s="527"/>
      <c r="GZ41" s="527"/>
      <c r="HA41" s="883">
        <v>38.4</v>
      </c>
      <c r="HB41" s="414"/>
      <c r="HC41" s="527"/>
      <c r="HD41" s="410"/>
    </row>
    <row r="42" spans="1:219" ht="20.100000000000001" customHeight="1">
      <c r="A42" s="821"/>
      <c r="B42" s="892" t="s">
        <v>417</v>
      </c>
      <c r="C42" s="893"/>
      <c r="D42" s="893"/>
      <c r="E42" s="894"/>
      <c r="F42" s="895"/>
      <c r="G42" s="825"/>
      <c r="H42" s="826"/>
      <c r="I42" s="827"/>
      <c r="J42" s="792"/>
      <c r="K42" s="828"/>
      <c r="L42" s="792"/>
      <c r="M42" s="828"/>
      <c r="N42" s="792"/>
      <c r="O42" s="828"/>
      <c r="P42" s="792"/>
      <c r="Q42" s="828"/>
      <c r="R42" s="792"/>
      <c r="S42" s="828"/>
      <c r="T42" s="792"/>
      <c r="U42" s="828"/>
      <c r="V42" s="792"/>
      <c r="W42" s="828"/>
      <c r="X42" s="792">
        <v>1589</v>
      </c>
      <c r="Y42" s="828"/>
      <c r="Z42" s="792">
        <v>1025</v>
      </c>
      <c r="AA42" s="828"/>
      <c r="AB42" s="792">
        <v>1003</v>
      </c>
      <c r="AC42" s="828"/>
      <c r="AD42" s="792">
        <v>975</v>
      </c>
      <c r="AE42" s="828"/>
      <c r="AF42" s="792">
        <v>959</v>
      </c>
      <c r="AG42" s="828"/>
      <c r="AH42" s="792">
        <v>937</v>
      </c>
      <c r="AI42" s="828"/>
      <c r="AJ42" s="792">
        <v>921</v>
      </c>
      <c r="AK42" s="828"/>
      <c r="AL42" s="792">
        <v>904</v>
      </c>
      <c r="AM42" s="828"/>
      <c r="AN42" s="792">
        <v>888</v>
      </c>
      <c r="AO42" s="828"/>
      <c r="AP42" s="792">
        <v>871</v>
      </c>
      <c r="AQ42" s="828"/>
      <c r="AR42" s="792"/>
      <c r="AS42" s="828"/>
      <c r="AT42" s="792"/>
      <c r="AU42" s="828"/>
      <c r="AV42" s="792"/>
      <c r="AW42" s="828"/>
      <c r="AX42" s="792"/>
      <c r="AY42" s="828"/>
      <c r="AZ42" s="792"/>
      <c r="BA42" s="828"/>
      <c r="BB42" s="829"/>
      <c r="BC42" s="559"/>
      <c r="BD42" s="821"/>
      <c r="BE42" s="896" t="s">
        <v>417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1589</v>
      </c>
      <c r="CB42" s="828"/>
      <c r="CC42" s="792">
        <v>1025</v>
      </c>
      <c r="CD42" s="828"/>
      <c r="CE42" s="792">
        <v>1003</v>
      </c>
      <c r="CF42" s="828"/>
      <c r="CG42" s="792">
        <v>975</v>
      </c>
      <c r="CH42" s="828"/>
      <c r="CI42" s="792">
        <v>959</v>
      </c>
      <c r="CJ42" s="828"/>
      <c r="CK42" s="792">
        <v>937</v>
      </c>
      <c r="CL42" s="828"/>
      <c r="CM42" s="792">
        <v>921</v>
      </c>
      <c r="CN42" s="828"/>
      <c r="CO42" s="792">
        <v>904</v>
      </c>
      <c r="CP42" s="828"/>
      <c r="CQ42" s="792">
        <v>888</v>
      </c>
      <c r="CR42" s="828"/>
      <c r="CS42" s="792">
        <v>871</v>
      </c>
      <c r="CT42" s="828"/>
      <c r="CU42" s="792"/>
      <c r="CV42" s="828"/>
      <c r="CW42" s="792"/>
      <c r="CX42" s="828"/>
      <c r="CY42" s="792"/>
      <c r="CZ42" s="828"/>
      <c r="DA42" s="792"/>
      <c r="DB42" s="828"/>
      <c r="DC42" s="792"/>
      <c r="DD42" s="828"/>
      <c r="DE42" s="829"/>
      <c r="DF42" s="559"/>
      <c r="DG42" s="821"/>
      <c r="DH42" s="896" t="s">
        <v>417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1589</v>
      </c>
      <c r="EE42" s="828"/>
      <c r="EF42" s="792">
        <v>1025</v>
      </c>
      <c r="EG42" s="828"/>
      <c r="EH42" s="792">
        <v>1003</v>
      </c>
      <c r="EI42" s="828"/>
      <c r="EJ42" s="792">
        <v>975</v>
      </c>
      <c r="EK42" s="828"/>
      <c r="EL42" s="792">
        <v>959</v>
      </c>
      <c r="EM42" s="828"/>
      <c r="EN42" s="792">
        <v>937</v>
      </c>
      <c r="EO42" s="828"/>
      <c r="EP42" s="792">
        <v>921</v>
      </c>
      <c r="EQ42" s="828"/>
      <c r="ER42" s="792">
        <v>904</v>
      </c>
      <c r="ES42" s="828"/>
      <c r="ET42" s="792">
        <v>888</v>
      </c>
      <c r="EU42" s="828"/>
      <c r="EV42" s="792">
        <v>871</v>
      </c>
      <c r="EW42" s="828"/>
      <c r="EX42" s="792"/>
      <c r="EY42" s="828"/>
      <c r="EZ42" s="792"/>
      <c r="FA42" s="828"/>
      <c r="FB42" s="792"/>
      <c r="FC42" s="828"/>
      <c r="FD42" s="792"/>
      <c r="FE42" s="828"/>
      <c r="FF42" s="792"/>
      <c r="FG42" s="828"/>
      <c r="FH42" s="829"/>
      <c r="FI42" s="560"/>
      <c r="FJ42" s="830"/>
      <c r="FK42" s="896" t="s">
        <v>417</v>
      </c>
      <c r="FL42" s="893"/>
      <c r="FM42" s="893"/>
      <c r="FN42" s="894"/>
      <c r="FO42" s="895"/>
      <c r="FP42" s="831"/>
      <c r="FQ42" s="827"/>
      <c r="FR42" s="826">
        <v>2729</v>
      </c>
      <c r="FS42" s="832"/>
      <c r="FT42" s="827"/>
      <c r="FU42" s="798">
        <v>2729</v>
      </c>
      <c r="FV42" s="590"/>
      <c r="FW42" s="591"/>
      <c r="FX42" s="799"/>
      <c r="FY42" s="593"/>
      <c r="FZ42" s="800"/>
      <c r="GA42" s="595"/>
      <c r="GB42" s="801"/>
      <c r="GC42" s="597"/>
      <c r="GD42" s="801"/>
      <c r="GE42" s="598"/>
      <c r="GF42" s="833"/>
      <c r="GG42" s="599"/>
      <c r="GH42" s="599"/>
      <c r="GI42" s="599"/>
      <c r="GJ42" s="410"/>
      <c r="GK42" s="897"/>
      <c r="GL42" s="898"/>
      <c r="GM42" s="899">
        <v>9.6</v>
      </c>
      <c r="GN42" s="899"/>
      <c r="GO42" s="899">
        <v>19.399999999999999</v>
      </c>
      <c r="GP42" s="899"/>
      <c r="GQ42" s="899">
        <v>29</v>
      </c>
      <c r="GR42" s="900"/>
      <c r="GS42" s="577"/>
      <c r="GT42" s="497"/>
      <c r="GU42" s="497"/>
      <c r="GV42" s="497"/>
      <c r="GW42" s="576"/>
      <c r="GX42" s="576"/>
      <c r="GY42" s="576"/>
      <c r="GZ42" s="575"/>
      <c r="HA42" s="497"/>
      <c r="HB42" s="497"/>
      <c r="HC42" s="527"/>
      <c r="HD42" s="527"/>
    </row>
    <row r="43" spans="1:219" ht="20.100000000000001" customHeight="1">
      <c r="A43" s="821"/>
      <c r="B43" s="901" t="s">
        <v>418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492</v>
      </c>
      <c r="GL43" s="918"/>
      <c r="GM43" s="919" t="s">
        <v>493</v>
      </c>
      <c r="GN43" s="919"/>
      <c r="GO43" s="919" t="s">
        <v>494</v>
      </c>
      <c r="GP43" s="919"/>
      <c r="GQ43" s="919"/>
      <c r="GR43" s="920"/>
      <c r="GS43" s="577"/>
      <c r="GT43" s="606"/>
      <c r="GU43" s="527" t="s">
        <v>464</v>
      </c>
      <c r="GV43" s="414"/>
      <c r="GW43" s="410"/>
      <c r="GX43" s="414"/>
      <c r="GY43" s="414"/>
      <c r="GZ43" s="414"/>
      <c r="HA43" s="410"/>
      <c r="HB43" s="414"/>
      <c r="HC43" s="921"/>
      <c r="HD43" s="416"/>
    </row>
    <row r="44" spans="1:219" ht="20.100000000000001" customHeight="1" thickBot="1">
      <c r="A44" s="922"/>
      <c r="B44" s="639"/>
      <c r="C44" s="639"/>
      <c r="D44" s="640" t="s">
        <v>419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1589</v>
      </c>
      <c r="Y44" s="838"/>
      <c r="Z44" s="837">
        <v>1025</v>
      </c>
      <c r="AA44" s="838"/>
      <c r="AB44" s="837">
        <v>1003</v>
      </c>
      <c r="AC44" s="838"/>
      <c r="AD44" s="837">
        <v>975</v>
      </c>
      <c r="AE44" s="838"/>
      <c r="AF44" s="837">
        <v>959</v>
      </c>
      <c r="AG44" s="838"/>
      <c r="AH44" s="837">
        <v>937</v>
      </c>
      <c r="AI44" s="838"/>
      <c r="AJ44" s="837">
        <v>921</v>
      </c>
      <c r="AK44" s="838"/>
      <c r="AL44" s="837">
        <v>904</v>
      </c>
      <c r="AM44" s="838"/>
      <c r="AN44" s="837">
        <v>888</v>
      </c>
      <c r="AO44" s="838"/>
      <c r="AP44" s="837">
        <v>871</v>
      </c>
      <c r="AQ44" s="838"/>
      <c r="AR44" s="837">
        <v>0</v>
      </c>
      <c r="AS44" s="838"/>
      <c r="AT44" s="837">
        <v>0</v>
      </c>
      <c r="AU44" s="838"/>
      <c r="AV44" s="837">
        <v>0</v>
      </c>
      <c r="AW44" s="838"/>
      <c r="AX44" s="837">
        <v>0</v>
      </c>
      <c r="AY44" s="838"/>
      <c r="AZ44" s="837">
        <v>0</v>
      </c>
      <c r="BA44" s="838"/>
      <c r="BB44" s="839">
        <v>0</v>
      </c>
      <c r="BC44" s="645"/>
      <c r="BD44" s="922"/>
      <c r="BE44" s="639"/>
      <c r="BF44" s="639"/>
      <c r="BG44" s="640" t="s">
        <v>419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1589</v>
      </c>
      <c r="CB44" s="838"/>
      <c r="CC44" s="837">
        <v>1025</v>
      </c>
      <c r="CD44" s="838"/>
      <c r="CE44" s="837">
        <v>1003</v>
      </c>
      <c r="CF44" s="838"/>
      <c r="CG44" s="837">
        <v>975</v>
      </c>
      <c r="CH44" s="838"/>
      <c r="CI44" s="837">
        <v>959</v>
      </c>
      <c r="CJ44" s="838"/>
      <c r="CK44" s="837">
        <v>937</v>
      </c>
      <c r="CL44" s="838"/>
      <c r="CM44" s="837">
        <v>921</v>
      </c>
      <c r="CN44" s="838"/>
      <c r="CO44" s="837">
        <v>904</v>
      </c>
      <c r="CP44" s="838"/>
      <c r="CQ44" s="837">
        <v>888</v>
      </c>
      <c r="CR44" s="838"/>
      <c r="CS44" s="837">
        <v>871</v>
      </c>
      <c r="CT44" s="838"/>
      <c r="CU44" s="837">
        <v>0</v>
      </c>
      <c r="CV44" s="838"/>
      <c r="CW44" s="837">
        <v>0</v>
      </c>
      <c r="CX44" s="838"/>
      <c r="CY44" s="837">
        <v>0</v>
      </c>
      <c r="CZ44" s="838"/>
      <c r="DA44" s="837">
        <v>0</v>
      </c>
      <c r="DB44" s="838"/>
      <c r="DC44" s="837">
        <v>0</v>
      </c>
      <c r="DD44" s="838"/>
      <c r="DE44" s="839">
        <v>0</v>
      </c>
      <c r="DF44" s="645"/>
      <c r="DG44" s="922"/>
      <c r="DH44" s="639"/>
      <c r="DI44" s="639"/>
      <c r="DJ44" s="640" t="s">
        <v>419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1589</v>
      </c>
      <c r="EE44" s="838"/>
      <c r="EF44" s="837">
        <v>1025</v>
      </c>
      <c r="EG44" s="838"/>
      <c r="EH44" s="837">
        <v>1003</v>
      </c>
      <c r="EI44" s="838"/>
      <c r="EJ44" s="837">
        <v>975</v>
      </c>
      <c r="EK44" s="838"/>
      <c r="EL44" s="837">
        <v>959</v>
      </c>
      <c r="EM44" s="838"/>
      <c r="EN44" s="837">
        <v>937</v>
      </c>
      <c r="EO44" s="838"/>
      <c r="EP44" s="837">
        <v>921</v>
      </c>
      <c r="EQ44" s="838"/>
      <c r="ER44" s="837">
        <v>904</v>
      </c>
      <c r="ES44" s="838"/>
      <c r="ET44" s="837">
        <v>888</v>
      </c>
      <c r="EU44" s="838"/>
      <c r="EV44" s="837">
        <v>871</v>
      </c>
      <c r="EW44" s="838"/>
      <c r="EX44" s="837">
        <v>0</v>
      </c>
      <c r="EY44" s="838"/>
      <c r="EZ44" s="837">
        <v>0</v>
      </c>
      <c r="FA44" s="838"/>
      <c r="FB44" s="837">
        <v>0</v>
      </c>
      <c r="FC44" s="838"/>
      <c r="FD44" s="837">
        <v>0</v>
      </c>
      <c r="FE44" s="838"/>
      <c r="FF44" s="837">
        <v>0</v>
      </c>
      <c r="FG44" s="838"/>
      <c r="FH44" s="839">
        <v>0</v>
      </c>
      <c r="FI44" s="646"/>
      <c r="FJ44" s="923"/>
      <c r="FK44" s="639"/>
      <c r="FL44" s="639"/>
      <c r="FM44" s="640" t="s">
        <v>419</v>
      </c>
      <c r="FN44" s="639"/>
      <c r="FO44" s="639"/>
      <c r="FP44" s="647"/>
      <c r="FQ44" s="836"/>
      <c r="FR44" s="835">
        <v>2729</v>
      </c>
      <c r="FS44" s="840"/>
      <c r="FT44" s="836"/>
      <c r="FU44" s="841">
        <v>2729</v>
      </c>
      <c r="FV44" s="590" t="s">
        <v>322</v>
      </c>
      <c r="FW44" s="591"/>
      <c r="FX44" s="799" t="s">
        <v>323</v>
      </c>
      <c r="FY44" s="593"/>
      <c r="FZ44" s="800" t="s">
        <v>324</v>
      </c>
      <c r="GA44" s="595"/>
      <c r="GB44" s="801" t="s">
        <v>325</v>
      </c>
      <c r="GC44" s="597"/>
      <c r="GD44" s="801" t="s">
        <v>326</v>
      </c>
      <c r="GE44" s="598"/>
      <c r="GF44" s="651"/>
      <c r="GG44" s="652"/>
      <c r="GH44" s="652"/>
      <c r="GI44" s="652"/>
      <c r="GJ44" s="527"/>
      <c r="GK44" s="897"/>
      <c r="GL44" s="898"/>
      <c r="GM44" s="924">
        <v>6.2</v>
      </c>
      <c r="GN44" s="924"/>
      <c r="GO44" s="924">
        <v>13</v>
      </c>
      <c r="GP44" s="924"/>
      <c r="GQ44" s="899">
        <v>19.2</v>
      </c>
      <c r="GR44" s="900"/>
      <c r="GS44" s="925"/>
      <c r="GT44" s="926"/>
      <c r="GU44" s="527" t="s">
        <v>495</v>
      </c>
      <c r="GV44" s="612"/>
      <c r="GW44" s="612"/>
      <c r="GX44" s="612"/>
      <c r="GY44" s="414"/>
      <c r="GZ44" s="414"/>
      <c r="HA44" s="744">
        <v>1.5</v>
      </c>
      <c r="HB44" s="414" t="s">
        <v>467</v>
      </c>
      <c r="HC44" s="927"/>
      <c r="HD44" s="416"/>
    </row>
    <row r="45" spans="1:219" ht="20.100000000000001" customHeight="1" thickTop="1">
      <c r="A45" s="928" t="s">
        <v>420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4760</v>
      </c>
      <c r="Y45" s="933"/>
      <c r="Z45" s="932">
        <v>4450</v>
      </c>
      <c r="AA45" s="933"/>
      <c r="AB45" s="932">
        <v>4703</v>
      </c>
      <c r="AC45" s="933"/>
      <c r="AD45" s="932">
        <v>4861</v>
      </c>
      <c r="AE45" s="933"/>
      <c r="AF45" s="932">
        <v>5311</v>
      </c>
      <c r="AG45" s="933"/>
      <c r="AH45" s="932">
        <v>5324</v>
      </c>
      <c r="AI45" s="933"/>
      <c r="AJ45" s="932">
        <v>5074</v>
      </c>
      <c r="AK45" s="933"/>
      <c r="AL45" s="932">
        <v>4710</v>
      </c>
      <c r="AM45" s="933"/>
      <c r="AN45" s="932">
        <v>4246</v>
      </c>
      <c r="AO45" s="933"/>
      <c r="AP45" s="932">
        <v>3821</v>
      </c>
      <c r="AQ45" s="933"/>
      <c r="AR45" s="932">
        <v>0</v>
      </c>
      <c r="AS45" s="933"/>
      <c r="AT45" s="932">
        <v>0</v>
      </c>
      <c r="AU45" s="933"/>
      <c r="AV45" s="932">
        <v>0</v>
      </c>
      <c r="AW45" s="933"/>
      <c r="AX45" s="932">
        <v>0</v>
      </c>
      <c r="AY45" s="933"/>
      <c r="AZ45" s="932">
        <v>0</v>
      </c>
      <c r="BA45" s="933"/>
      <c r="BB45" s="934">
        <v>0</v>
      </c>
      <c r="BC45" s="645"/>
      <c r="BD45" s="928" t="s">
        <v>420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4654</v>
      </c>
      <c r="CB45" s="933"/>
      <c r="CC45" s="932">
        <v>4278</v>
      </c>
      <c r="CD45" s="933"/>
      <c r="CE45" s="932">
        <v>4619</v>
      </c>
      <c r="CF45" s="933"/>
      <c r="CG45" s="932">
        <v>4930</v>
      </c>
      <c r="CH45" s="933"/>
      <c r="CI45" s="932">
        <v>5492</v>
      </c>
      <c r="CJ45" s="933"/>
      <c r="CK45" s="932">
        <v>5559</v>
      </c>
      <c r="CL45" s="933"/>
      <c r="CM45" s="932">
        <v>5377</v>
      </c>
      <c r="CN45" s="933"/>
      <c r="CO45" s="932">
        <v>4983</v>
      </c>
      <c r="CP45" s="933"/>
      <c r="CQ45" s="932">
        <v>4484</v>
      </c>
      <c r="CR45" s="933"/>
      <c r="CS45" s="932">
        <v>3889</v>
      </c>
      <c r="CT45" s="933"/>
      <c r="CU45" s="932">
        <v>0</v>
      </c>
      <c r="CV45" s="933"/>
      <c r="CW45" s="932">
        <v>0</v>
      </c>
      <c r="CX45" s="933"/>
      <c r="CY45" s="932">
        <v>0</v>
      </c>
      <c r="CZ45" s="933"/>
      <c r="DA45" s="932">
        <v>0</v>
      </c>
      <c r="DB45" s="933"/>
      <c r="DC45" s="932">
        <v>0</v>
      </c>
      <c r="DD45" s="933"/>
      <c r="DE45" s="934">
        <v>0</v>
      </c>
      <c r="DF45" s="645"/>
      <c r="DG45" s="928" t="s">
        <v>420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4213</v>
      </c>
      <c r="EE45" s="933"/>
      <c r="EF45" s="932">
        <v>4225</v>
      </c>
      <c r="EG45" s="933"/>
      <c r="EH45" s="932">
        <v>5084</v>
      </c>
      <c r="EI45" s="933"/>
      <c r="EJ45" s="932">
        <v>5491</v>
      </c>
      <c r="EK45" s="933"/>
      <c r="EL45" s="932">
        <v>5965</v>
      </c>
      <c r="EM45" s="933"/>
      <c r="EN45" s="932">
        <v>5933</v>
      </c>
      <c r="EO45" s="933"/>
      <c r="EP45" s="932">
        <v>5599</v>
      </c>
      <c r="EQ45" s="933"/>
      <c r="ER45" s="932">
        <v>4997</v>
      </c>
      <c r="ES45" s="933"/>
      <c r="ET45" s="932">
        <v>4199</v>
      </c>
      <c r="EU45" s="933"/>
      <c r="EV45" s="932">
        <v>3437</v>
      </c>
      <c r="EW45" s="933"/>
      <c r="EX45" s="932">
        <v>0</v>
      </c>
      <c r="EY45" s="933"/>
      <c r="EZ45" s="932">
        <v>0</v>
      </c>
      <c r="FA45" s="933"/>
      <c r="FB45" s="932">
        <v>0</v>
      </c>
      <c r="FC45" s="933"/>
      <c r="FD45" s="932">
        <v>0</v>
      </c>
      <c r="FE45" s="933"/>
      <c r="FF45" s="932">
        <v>0</v>
      </c>
      <c r="FG45" s="933"/>
      <c r="FH45" s="934">
        <v>0</v>
      </c>
      <c r="FI45" s="645"/>
      <c r="FJ45" s="928" t="s">
        <v>420</v>
      </c>
      <c r="FK45" s="929"/>
      <c r="FL45" s="929"/>
      <c r="FM45" s="929"/>
      <c r="FN45" s="929"/>
      <c r="FO45" s="930"/>
      <c r="FP45" s="935"/>
      <c r="FQ45" s="936"/>
      <c r="FR45" s="932">
        <v>6209</v>
      </c>
      <c r="FS45" s="937"/>
      <c r="FT45" s="936"/>
      <c r="FU45" s="938">
        <v>6289</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496</v>
      </c>
      <c r="GV45" s="414"/>
      <c r="GW45" s="414"/>
      <c r="GX45" s="414"/>
      <c r="GY45" s="527"/>
      <c r="GZ45" s="726"/>
      <c r="HA45" s="744">
        <v>22</v>
      </c>
      <c r="HB45" s="414" t="s">
        <v>467</v>
      </c>
      <c r="HC45" s="927"/>
      <c r="HD45" s="416"/>
    </row>
    <row r="46" spans="1:219" ht="20.100000000000001" customHeight="1">
      <c r="A46" s="943" t="s">
        <v>421</v>
      </c>
      <c r="B46" s="944"/>
      <c r="C46" s="944"/>
      <c r="D46" s="944"/>
      <c r="E46" s="944"/>
      <c r="F46" s="945"/>
      <c r="G46" s="946" t="s">
        <v>422</v>
      </c>
      <c r="H46" s="947"/>
      <c r="I46" s="948" t="s">
        <v>422</v>
      </c>
      <c r="J46" s="947"/>
      <c r="K46" s="948" t="s">
        <v>422</v>
      </c>
      <c r="L46" s="947"/>
      <c r="M46" s="948" t="s">
        <v>422</v>
      </c>
      <c r="N46" s="947"/>
      <c r="O46" s="948" t="s">
        <v>422</v>
      </c>
      <c r="P46" s="947"/>
      <c r="Q46" s="948" t="s">
        <v>422</v>
      </c>
      <c r="R46" s="947"/>
      <c r="S46" s="948" t="s">
        <v>422</v>
      </c>
      <c r="T46" s="947"/>
      <c r="U46" s="948" t="s">
        <v>422</v>
      </c>
      <c r="V46" s="947"/>
      <c r="W46" s="948" t="s">
        <v>422</v>
      </c>
      <c r="X46" s="947"/>
      <c r="Y46" s="948" t="s">
        <v>422</v>
      </c>
      <c r="Z46" s="947"/>
      <c r="AA46" s="948" t="s">
        <v>422</v>
      </c>
      <c r="AB46" s="947"/>
      <c r="AC46" s="948" t="s">
        <v>422</v>
      </c>
      <c r="AD46" s="947"/>
      <c r="AE46" s="948" t="s">
        <v>422</v>
      </c>
      <c r="AF46" s="947"/>
      <c r="AG46" s="948" t="s">
        <v>422</v>
      </c>
      <c r="AH46" s="947"/>
      <c r="AI46" s="948" t="s">
        <v>422</v>
      </c>
      <c r="AJ46" s="947"/>
      <c r="AK46" s="948" t="s">
        <v>422</v>
      </c>
      <c r="AL46" s="947"/>
      <c r="AM46" s="948" t="s">
        <v>422</v>
      </c>
      <c r="AN46" s="947"/>
      <c r="AO46" s="948" t="s">
        <v>422</v>
      </c>
      <c r="AP46" s="947"/>
      <c r="AQ46" s="948" t="s">
        <v>422</v>
      </c>
      <c r="AR46" s="947"/>
      <c r="AS46" s="948" t="s">
        <v>422</v>
      </c>
      <c r="AT46" s="947"/>
      <c r="AU46" s="948" t="s">
        <v>422</v>
      </c>
      <c r="AV46" s="947"/>
      <c r="AW46" s="948" t="s">
        <v>422</v>
      </c>
      <c r="AX46" s="947"/>
      <c r="AY46" s="948" t="s">
        <v>422</v>
      </c>
      <c r="AZ46" s="949"/>
      <c r="BA46" s="950" t="s">
        <v>422</v>
      </c>
      <c r="BB46" s="951"/>
      <c r="BC46" s="952"/>
      <c r="BD46" s="943" t="s">
        <v>421</v>
      </c>
      <c r="BE46" s="944"/>
      <c r="BF46" s="944"/>
      <c r="BG46" s="944"/>
      <c r="BH46" s="944"/>
      <c r="BI46" s="945"/>
      <c r="BJ46" s="946" t="s">
        <v>422</v>
      </c>
      <c r="BK46" s="947"/>
      <c r="BL46" s="948" t="s">
        <v>422</v>
      </c>
      <c r="BM46" s="947"/>
      <c r="BN46" s="948" t="s">
        <v>422</v>
      </c>
      <c r="BO46" s="947"/>
      <c r="BP46" s="948" t="s">
        <v>422</v>
      </c>
      <c r="BQ46" s="947"/>
      <c r="BR46" s="948" t="s">
        <v>422</v>
      </c>
      <c r="BS46" s="947"/>
      <c r="BT46" s="948" t="s">
        <v>422</v>
      </c>
      <c r="BU46" s="947"/>
      <c r="BV46" s="948" t="s">
        <v>422</v>
      </c>
      <c r="BW46" s="947"/>
      <c r="BX46" s="948" t="s">
        <v>422</v>
      </c>
      <c r="BY46" s="947"/>
      <c r="BZ46" s="948" t="s">
        <v>422</v>
      </c>
      <c r="CA46" s="947"/>
      <c r="CB46" s="948" t="s">
        <v>422</v>
      </c>
      <c r="CC46" s="947"/>
      <c r="CD46" s="948" t="s">
        <v>422</v>
      </c>
      <c r="CE46" s="947"/>
      <c r="CF46" s="948" t="s">
        <v>422</v>
      </c>
      <c r="CG46" s="947"/>
      <c r="CH46" s="948" t="s">
        <v>422</v>
      </c>
      <c r="CI46" s="947"/>
      <c r="CJ46" s="948" t="s">
        <v>422</v>
      </c>
      <c r="CK46" s="947"/>
      <c r="CL46" s="948" t="s">
        <v>422</v>
      </c>
      <c r="CM46" s="947"/>
      <c r="CN46" s="948" t="s">
        <v>422</v>
      </c>
      <c r="CO46" s="947"/>
      <c r="CP46" s="948" t="s">
        <v>422</v>
      </c>
      <c r="CQ46" s="947"/>
      <c r="CR46" s="948" t="s">
        <v>422</v>
      </c>
      <c r="CS46" s="947"/>
      <c r="CT46" s="948" t="s">
        <v>422</v>
      </c>
      <c r="CU46" s="947"/>
      <c r="CV46" s="948" t="s">
        <v>422</v>
      </c>
      <c r="CW46" s="947"/>
      <c r="CX46" s="948" t="s">
        <v>422</v>
      </c>
      <c r="CY46" s="947"/>
      <c r="CZ46" s="948" t="s">
        <v>422</v>
      </c>
      <c r="DA46" s="947"/>
      <c r="DB46" s="948" t="s">
        <v>422</v>
      </c>
      <c r="DC46" s="949"/>
      <c r="DD46" s="950" t="s">
        <v>422</v>
      </c>
      <c r="DE46" s="951"/>
      <c r="DF46" s="952"/>
      <c r="DG46" s="943" t="s">
        <v>421</v>
      </c>
      <c r="DH46" s="944"/>
      <c r="DI46" s="944"/>
      <c r="DJ46" s="944"/>
      <c r="DK46" s="944"/>
      <c r="DL46" s="945"/>
      <c r="DM46" s="946" t="s">
        <v>422</v>
      </c>
      <c r="DN46" s="947"/>
      <c r="DO46" s="948" t="s">
        <v>422</v>
      </c>
      <c r="DP46" s="947"/>
      <c r="DQ46" s="948" t="s">
        <v>422</v>
      </c>
      <c r="DR46" s="947"/>
      <c r="DS46" s="948" t="s">
        <v>422</v>
      </c>
      <c r="DT46" s="947"/>
      <c r="DU46" s="948" t="s">
        <v>422</v>
      </c>
      <c r="DV46" s="947"/>
      <c r="DW46" s="948" t="s">
        <v>422</v>
      </c>
      <c r="DX46" s="947"/>
      <c r="DY46" s="948" t="s">
        <v>422</v>
      </c>
      <c r="DZ46" s="947"/>
      <c r="EA46" s="948" t="s">
        <v>422</v>
      </c>
      <c r="EB46" s="947"/>
      <c r="EC46" s="948" t="s">
        <v>422</v>
      </c>
      <c r="ED46" s="947"/>
      <c r="EE46" s="948" t="s">
        <v>422</v>
      </c>
      <c r="EF46" s="947"/>
      <c r="EG46" s="948" t="s">
        <v>422</v>
      </c>
      <c r="EH46" s="947"/>
      <c r="EI46" s="948" t="s">
        <v>422</v>
      </c>
      <c r="EJ46" s="947"/>
      <c r="EK46" s="948" t="s">
        <v>422</v>
      </c>
      <c r="EL46" s="947"/>
      <c r="EM46" s="948" t="s">
        <v>422</v>
      </c>
      <c r="EN46" s="947"/>
      <c r="EO46" s="948" t="s">
        <v>422</v>
      </c>
      <c r="EP46" s="947"/>
      <c r="EQ46" s="948" t="s">
        <v>422</v>
      </c>
      <c r="ER46" s="947"/>
      <c r="ES46" s="948" t="s">
        <v>422</v>
      </c>
      <c r="ET46" s="947"/>
      <c r="EU46" s="948" t="s">
        <v>422</v>
      </c>
      <c r="EV46" s="947"/>
      <c r="EW46" s="948" t="s">
        <v>422</v>
      </c>
      <c r="EX46" s="947"/>
      <c r="EY46" s="948" t="s">
        <v>422</v>
      </c>
      <c r="EZ46" s="947"/>
      <c r="FA46" s="948" t="s">
        <v>422</v>
      </c>
      <c r="FB46" s="947"/>
      <c r="FC46" s="948" t="s">
        <v>422</v>
      </c>
      <c r="FD46" s="947"/>
      <c r="FE46" s="948" t="s">
        <v>422</v>
      </c>
      <c r="FF46" s="949"/>
      <c r="FG46" s="950" t="s">
        <v>422</v>
      </c>
      <c r="FH46" s="951"/>
      <c r="FI46" s="952"/>
      <c r="FJ46" s="943" t="s">
        <v>423</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497</v>
      </c>
      <c r="GL46" s="414"/>
      <c r="GM46" s="743"/>
      <c r="GN46" s="743"/>
      <c r="GO46" s="743"/>
      <c r="GP46" s="743"/>
      <c r="GQ46" s="743"/>
      <c r="GR46" s="850"/>
      <c r="GS46" s="577"/>
      <c r="GT46" s="756"/>
      <c r="GU46" s="767" t="s">
        <v>498</v>
      </c>
      <c r="GV46" s="767"/>
      <c r="GW46" s="767"/>
      <c r="GX46" s="767"/>
      <c r="GY46" s="612"/>
      <c r="GZ46" s="768"/>
      <c r="HA46" s="744">
        <v>20.5</v>
      </c>
      <c r="HB46" s="414" t="s">
        <v>467</v>
      </c>
      <c r="HC46" s="927"/>
      <c r="HD46" s="416"/>
    </row>
    <row r="47" spans="1:219" ht="20.100000000000001" customHeight="1" thickBot="1">
      <c r="A47" s="959" t="s">
        <v>424</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4998</v>
      </c>
      <c r="Y47" s="965"/>
      <c r="Z47" s="964">
        <v>4673</v>
      </c>
      <c r="AA47" s="965"/>
      <c r="AB47" s="964">
        <v>4938</v>
      </c>
      <c r="AC47" s="965"/>
      <c r="AD47" s="964">
        <v>5104</v>
      </c>
      <c r="AE47" s="965"/>
      <c r="AF47" s="964">
        <v>5577</v>
      </c>
      <c r="AG47" s="965"/>
      <c r="AH47" s="964">
        <v>5590</v>
      </c>
      <c r="AI47" s="965"/>
      <c r="AJ47" s="964">
        <v>5328</v>
      </c>
      <c r="AK47" s="965"/>
      <c r="AL47" s="964">
        <v>4946</v>
      </c>
      <c r="AM47" s="965"/>
      <c r="AN47" s="964">
        <v>4458</v>
      </c>
      <c r="AO47" s="965"/>
      <c r="AP47" s="964">
        <v>4012</v>
      </c>
      <c r="AQ47" s="965"/>
      <c r="AR47" s="964">
        <v>0</v>
      </c>
      <c r="AS47" s="965"/>
      <c r="AT47" s="964">
        <v>0</v>
      </c>
      <c r="AU47" s="965"/>
      <c r="AV47" s="964">
        <v>0</v>
      </c>
      <c r="AW47" s="965"/>
      <c r="AX47" s="964">
        <v>0</v>
      </c>
      <c r="AY47" s="966"/>
      <c r="AZ47" s="967">
        <v>0</v>
      </c>
      <c r="BA47" s="968"/>
      <c r="BB47" s="969">
        <v>0</v>
      </c>
      <c r="BC47" s="970"/>
      <c r="BD47" s="959" t="s">
        <v>424</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4887</v>
      </c>
      <c r="CB47" s="965"/>
      <c r="CC47" s="964">
        <v>4492</v>
      </c>
      <c r="CD47" s="965"/>
      <c r="CE47" s="964">
        <v>4850</v>
      </c>
      <c r="CF47" s="965"/>
      <c r="CG47" s="964">
        <v>5177</v>
      </c>
      <c r="CH47" s="965"/>
      <c r="CI47" s="964">
        <v>5767</v>
      </c>
      <c r="CJ47" s="965"/>
      <c r="CK47" s="964">
        <v>5837</v>
      </c>
      <c r="CL47" s="965"/>
      <c r="CM47" s="964">
        <v>5646</v>
      </c>
      <c r="CN47" s="965"/>
      <c r="CO47" s="964">
        <v>5232</v>
      </c>
      <c r="CP47" s="965"/>
      <c r="CQ47" s="964">
        <v>4708</v>
      </c>
      <c r="CR47" s="965"/>
      <c r="CS47" s="964">
        <v>4083</v>
      </c>
      <c r="CT47" s="965"/>
      <c r="CU47" s="964">
        <v>0</v>
      </c>
      <c r="CV47" s="965"/>
      <c r="CW47" s="964">
        <v>0</v>
      </c>
      <c r="CX47" s="965"/>
      <c r="CY47" s="964">
        <v>0</v>
      </c>
      <c r="CZ47" s="965"/>
      <c r="DA47" s="964">
        <v>0</v>
      </c>
      <c r="DB47" s="966"/>
      <c r="DC47" s="967">
        <v>0</v>
      </c>
      <c r="DD47" s="968"/>
      <c r="DE47" s="969">
        <v>0</v>
      </c>
      <c r="DF47" s="970"/>
      <c r="DG47" s="959" t="s">
        <v>424</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4424</v>
      </c>
      <c r="EE47" s="965"/>
      <c r="EF47" s="964">
        <v>4436</v>
      </c>
      <c r="EG47" s="965"/>
      <c r="EH47" s="964">
        <v>5338</v>
      </c>
      <c r="EI47" s="965"/>
      <c r="EJ47" s="964">
        <v>5766</v>
      </c>
      <c r="EK47" s="965"/>
      <c r="EL47" s="964">
        <v>6263</v>
      </c>
      <c r="EM47" s="965"/>
      <c r="EN47" s="964">
        <v>6230</v>
      </c>
      <c r="EO47" s="965"/>
      <c r="EP47" s="964">
        <v>5879</v>
      </c>
      <c r="EQ47" s="965"/>
      <c r="ER47" s="964">
        <v>5247</v>
      </c>
      <c r="ES47" s="965"/>
      <c r="ET47" s="964">
        <v>4409</v>
      </c>
      <c r="EU47" s="965"/>
      <c r="EV47" s="964">
        <v>3609</v>
      </c>
      <c r="EW47" s="965"/>
      <c r="EX47" s="964">
        <v>0</v>
      </c>
      <c r="EY47" s="965"/>
      <c r="EZ47" s="964">
        <v>0</v>
      </c>
      <c r="FA47" s="965"/>
      <c r="FB47" s="964">
        <v>0</v>
      </c>
      <c r="FC47" s="965"/>
      <c r="FD47" s="964">
        <v>0</v>
      </c>
      <c r="FE47" s="966"/>
      <c r="FF47" s="967">
        <v>0</v>
      </c>
      <c r="FG47" s="968"/>
      <c r="FH47" s="969">
        <v>0</v>
      </c>
      <c r="FI47" s="970"/>
      <c r="FJ47" s="959" t="s">
        <v>424</v>
      </c>
      <c r="FK47" s="960"/>
      <c r="FL47" s="960"/>
      <c r="FM47" s="961"/>
      <c r="FN47" s="962"/>
      <c r="FO47" s="962"/>
      <c r="FP47" s="971"/>
      <c r="FQ47" s="972"/>
      <c r="FR47" s="964">
        <v>6209</v>
      </c>
      <c r="FS47" s="973"/>
      <c r="FT47" s="972"/>
      <c r="FU47" s="974">
        <v>6289</v>
      </c>
      <c r="FV47" s="975">
        <v>14</v>
      </c>
      <c r="FW47" s="964">
        <v>5590</v>
      </c>
      <c r="FX47" s="976">
        <v>14</v>
      </c>
      <c r="FY47" s="964">
        <v>5837</v>
      </c>
      <c r="FZ47" s="976">
        <v>13</v>
      </c>
      <c r="GA47" s="964">
        <v>6263</v>
      </c>
      <c r="GB47" s="977" t="s">
        <v>354</v>
      </c>
      <c r="GC47" s="964">
        <v>6263</v>
      </c>
      <c r="GD47" s="977" t="s">
        <v>356</v>
      </c>
      <c r="GE47" s="978">
        <v>6289</v>
      </c>
      <c r="GF47" s="681"/>
      <c r="GG47" s="979"/>
      <c r="GH47" s="979"/>
      <c r="GI47" s="979"/>
      <c r="GJ47" s="882"/>
      <c r="GK47" s="414" t="s">
        <v>499</v>
      </c>
      <c r="GL47" s="882"/>
      <c r="GM47" s="527"/>
      <c r="GN47" s="882"/>
      <c r="GO47" s="527"/>
      <c r="GP47" s="527"/>
      <c r="GQ47" s="527"/>
      <c r="GR47" s="882"/>
      <c r="GS47" s="527"/>
      <c r="GT47" s="756"/>
      <c r="GU47" s="767" t="s">
        <v>500</v>
      </c>
      <c r="GV47" s="767"/>
      <c r="GW47" s="767"/>
      <c r="GX47" s="767"/>
      <c r="GY47" s="527"/>
      <c r="GZ47" s="414"/>
      <c r="HA47" s="771">
        <v>0</v>
      </c>
      <c r="HB47" s="414"/>
      <c r="HC47" s="970"/>
      <c r="HD47" s="416"/>
    </row>
    <row r="48" spans="1:219" ht="20.100000000000001" customHeight="1">
      <c r="A48" s="980" t="s">
        <v>425</v>
      </c>
      <c r="B48" s="981" t="s">
        <v>426</v>
      </c>
      <c r="C48" s="884"/>
      <c r="D48" s="814"/>
      <c r="E48" s="814"/>
      <c r="F48" s="815"/>
      <c r="G48" s="733" t="s">
        <v>427</v>
      </c>
      <c r="H48" s="660" t="s">
        <v>393</v>
      </c>
      <c r="I48" s="735" t="s">
        <v>427</v>
      </c>
      <c r="J48" s="982" t="s">
        <v>393</v>
      </c>
      <c r="K48" s="735" t="s">
        <v>427</v>
      </c>
      <c r="L48" s="982" t="s">
        <v>393</v>
      </c>
      <c r="M48" s="735" t="s">
        <v>427</v>
      </c>
      <c r="N48" s="982" t="s">
        <v>393</v>
      </c>
      <c r="O48" s="735" t="s">
        <v>427</v>
      </c>
      <c r="P48" s="982" t="s">
        <v>393</v>
      </c>
      <c r="Q48" s="735" t="s">
        <v>427</v>
      </c>
      <c r="R48" s="982" t="s">
        <v>393</v>
      </c>
      <c r="S48" s="735" t="s">
        <v>427</v>
      </c>
      <c r="T48" s="982" t="s">
        <v>393</v>
      </c>
      <c r="U48" s="735" t="s">
        <v>427</v>
      </c>
      <c r="V48" s="982" t="s">
        <v>393</v>
      </c>
      <c r="W48" s="735" t="s">
        <v>427</v>
      </c>
      <c r="X48" s="982" t="s">
        <v>393</v>
      </c>
      <c r="Y48" s="735" t="s">
        <v>427</v>
      </c>
      <c r="Z48" s="982" t="s">
        <v>393</v>
      </c>
      <c r="AA48" s="735" t="s">
        <v>427</v>
      </c>
      <c r="AB48" s="982" t="s">
        <v>393</v>
      </c>
      <c r="AC48" s="735" t="s">
        <v>427</v>
      </c>
      <c r="AD48" s="982" t="s">
        <v>393</v>
      </c>
      <c r="AE48" s="735" t="s">
        <v>427</v>
      </c>
      <c r="AF48" s="982" t="s">
        <v>393</v>
      </c>
      <c r="AG48" s="735" t="s">
        <v>427</v>
      </c>
      <c r="AH48" s="982" t="s">
        <v>393</v>
      </c>
      <c r="AI48" s="735" t="s">
        <v>427</v>
      </c>
      <c r="AJ48" s="982" t="s">
        <v>393</v>
      </c>
      <c r="AK48" s="735" t="s">
        <v>427</v>
      </c>
      <c r="AL48" s="982" t="s">
        <v>393</v>
      </c>
      <c r="AM48" s="735" t="s">
        <v>427</v>
      </c>
      <c r="AN48" s="982" t="s">
        <v>393</v>
      </c>
      <c r="AO48" s="735" t="s">
        <v>427</v>
      </c>
      <c r="AP48" s="982" t="s">
        <v>393</v>
      </c>
      <c r="AQ48" s="735" t="s">
        <v>427</v>
      </c>
      <c r="AR48" s="982" t="s">
        <v>393</v>
      </c>
      <c r="AS48" s="735" t="s">
        <v>427</v>
      </c>
      <c r="AT48" s="982" t="s">
        <v>393</v>
      </c>
      <c r="AU48" s="735" t="s">
        <v>427</v>
      </c>
      <c r="AV48" s="982" t="s">
        <v>393</v>
      </c>
      <c r="AW48" s="735" t="s">
        <v>427</v>
      </c>
      <c r="AX48" s="982" t="s">
        <v>393</v>
      </c>
      <c r="AY48" s="735" t="s">
        <v>427</v>
      </c>
      <c r="AZ48" s="983" t="s">
        <v>393</v>
      </c>
      <c r="BA48" s="984" t="s">
        <v>427</v>
      </c>
      <c r="BB48" s="985" t="s">
        <v>393</v>
      </c>
      <c r="BC48" s="921"/>
      <c r="BD48" s="980" t="s">
        <v>425</v>
      </c>
      <c r="BE48" s="981" t="s">
        <v>426</v>
      </c>
      <c r="BF48" s="884"/>
      <c r="BG48" s="814"/>
      <c r="BH48" s="814"/>
      <c r="BI48" s="815"/>
      <c r="BJ48" s="733" t="s">
        <v>427</v>
      </c>
      <c r="BK48" s="660" t="s">
        <v>393</v>
      </c>
      <c r="BL48" s="735" t="s">
        <v>427</v>
      </c>
      <c r="BM48" s="982" t="s">
        <v>393</v>
      </c>
      <c r="BN48" s="735" t="s">
        <v>427</v>
      </c>
      <c r="BO48" s="982" t="s">
        <v>393</v>
      </c>
      <c r="BP48" s="735" t="s">
        <v>427</v>
      </c>
      <c r="BQ48" s="982" t="s">
        <v>393</v>
      </c>
      <c r="BR48" s="735" t="s">
        <v>427</v>
      </c>
      <c r="BS48" s="982" t="s">
        <v>393</v>
      </c>
      <c r="BT48" s="735" t="s">
        <v>427</v>
      </c>
      <c r="BU48" s="982" t="s">
        <v>393</v>
      </c>
      <c r="BV48" s="735" t="s">
        <v>427</v>
      </c>
      <c r="BW48" s="982" t="s">
        <v>393</v>
      </c>
      <c r="BX48" s="735" t="s">
        <v>427</v>
      </c>
      <c r="BY48" s="982" t="s">
        <v>393</v>
      </c>
      <c r="BZ48" s="735" t="s">
        <v>427</v>
      </c>
      <c r="CA48" s="982" t="s">
        <v>393</v>
      </c>
      <c r="CB48" s="735" t="s">
        <v>427</v>
      </c>
      <c r="CC48" s="982" t="s">
        <v>393</v>
      </c>
      <c r="CD48" s="735" t="s">
        <v>427</v>
      </c>
      <c r="CE48" s="982" t="s">
        <v>393</v>
      </c>
      <c r="CF48" s="735" t="s">
        <v>427</v>
      </c>
      <c r="CG48" s="982" t="s">
        <v>393</v>
      </c>
      <c r="CH48" s="735" t="s">
        <v>427</v>
      </c>
      <c r="CI48" s="982" t="s">
        <v>393</v>
      </c>
      <c r="CJ48" s="735" t="s">
        <v>427</v>
      </c>
      <c r="CK48" s="982" t="s">
        <v>393</v>
      </c>
      <c r="CL48" s="735" t="s">
        <v>427</v>
      </c>
      <c r="CM48" s="982" t="s">
        <v>393</v>
      </c>
      <c r="CN48" s="735" t="s">
        <v>427</v>
      </c>
      <c r="CO48" s="982" t="s">
        <v>393</v>
      </c>
      <c r="CP48" s="735" t="s">
        <v>427</v>
      </c>
      <c r="CQ48" s="982" t="s">
        <v>393</v>
      </c>
      <c r="CR48" s="735" t="s">
        <v>427</v>
      </c>
      <c r="CS48" s="982" t="s">
        <v>393</v>
      </c>
      <c r="CT48" s="735" t="s">
        <v>427</v>
      </c>
      <c r="CU48" s="982" t="s">
        <v>393</v>
      </c>
      <c r="CV48" s="735" t="s">
        <v>427</v>
      </c>
      <c r="CW48" s="982" t="s">
        <v>393</v>
      </c>
      <c r="CX48" s="735" t="s">
        <v>427</v>
      </c>
      <c r="CY48" s="982" t="s">
        <v>393</v>
      </c>
      <c r="CZ48" s="735" t="s">
        <v>427</v>
      </c>
      <c r="DA48" s="982" t="s">
        <v>393</v>
      </c>
      <c r="DB48" s="735" t="s">
        <v>427</v>
      </c>
      <c r="DC48" s="983" t="s">
        <v>393</v>
      </c>
      <c r="DD48" s="984" t="s">
        <v>427</v>
      </c>
      <c r="DE48" s="985" t="s">
        <v>393</v>
      </c>
      <c r="DF48" s="921"/>
      <c r="DG48" s="980" t="s">
        <v>425</v>
      </c>
      <c r="DH48" s="981" t="s">
        <v>426</v>
      </c>
      <c r="DI48" s="884"/>
      <c r="DJ48" s="814"/>
      <c r="DK48" s="814"/>
      <c r="DL48" s="815"/>
      <c r="DM48" s="733" t="s">
        <v>427</v>
      </c>
      <c r="DN48" s="660" t="s">
        <v>393</v>
      </c>
      <c r="DO48" s="735" t="s">
        <v>427</v>
      </c>
      <c r="DP48" s="982" t="s">
        <v>393</v>
      </c>
      <c r="DQ48" s="735" t="s">
        <v>427</v>
      </c>
      <c r="DR48" s="982" t="s">
        <v>393</v>
      </c>
      <c r="DS48" s="735" t="s">
        <v>427</v>
      </c>
      <c r="DT48" s="982" t="s">
        <v>393</v>
      </c>
      <c r="DU48" s="735" t="s">
        <v>427</v>
      </c>
      <c r="DV48" s="982" t="s">
        <v>393</v>
      </c>
      <c r="DW48" s="735" t="s">
        <v>427</v>
      </c>
      <c r="DX48" s="982" t="s">
        <v>393</v>
      </c>
      <c r="DY48" s="735" t="s">
        <v>427</v>
      </c>
      <c r="DZ48" s="982" t="s">
        <v>393</v>
      </c>
      <c r="EA48" s="735" t="s">
        <v>427</v>
      </c>
      <c r="EB48" s="982" t="s">
        <v>393</v>
      </c>
      <c r="EC48" s="735" t="s">
        <v>427</v>
      </c>
      <c r="ED48" s="982" t="s">
        <v>393</v>
      </c>
      <c r="EE48" s="735" t="s">
        <v>427</v>
      </c>
      <c r="EF48" s="982" t="s">
        <v>393</v>
      </c>
      <c r="EG48" s="735" t="s">
        <v>427</v>
      </c>
      <c r="EH48" s="982" t="s">
        <v>393</v>
      </c>
      <c r="EI48" s="735" t="s">
        <v>427</v>
      </c>
      <c r="EJ48" s="982" t="s">
        <v>393</v>
      </c>
      <c r="EK48" s="735" t="s">
        <v>427</v>
      </c>
      <c r="EL48" s="982" t="s">
        <v>393</v>
      </c>
      <c r="EM48" s="735" t="s">
        <v>427</v>
      </c>
      <c r="EN48" s="982" t="s">
        <v>393</v>
      </c>
      <c r="EO48" s="735" t="s">
        <v>427</v>
      </c>
      <c r="EP48" s="982" t="s">
        <v>393</v>
      </c>
      <c r="EQ48" s="735" t="s">
        <v>427</v>
      </c>
      <c r="ER48" s="982" t="s">
        <v>393</v>
      </c>
      <c r="ES48" s="735" t="s">
        <v>427</v>
      </c>
      <c r="ET48" s="982" t="s">
        <v>393</v>
      </c>
      <c r="EU48" s="735" t="s">
        <v>427</v>
      </c>
      <c r="EV48" s="982" t="s">
        <v>393</v>
      </c>
      <c r="EW48" s="735" t="s">
        <v>427</v>
      </c>
      <c r="EX48" s="982" t="s">
        <v>393</v>
      </c>
      <c r="EY48" s="735" t="s">
        <v>427</v>
      </c>
      <c r="EZ48" s="982" t="s">
        <v>393</v>
      </c>
      <c r="FA48" s="735" t="s">
        <v>427</v>
      </c>
      <c r="FB48" s="982" t="s">
        <v>393</v>
      </c>
      <c r="FC48" s="735" t="s">
        <v>427</v>
      </c>
      <c r="FD48" s="982" t="s">
        <v>393</v>
      </c>
      <c r="FE48" s="735" t="s">
        <v>427</v>
      </c>
      <c r="FF48" s="983" t="s">
        <v>393</v>
      </c>
      <c r="FG48" s="984" t="s">
        <v>427</v>
      </c>
      <c r="FH48" s="985" t="s">
        <v>393</v>
      </c>
      <c r="FI48" s="921"/>
      <c r="FJ48" s="980" t="s">
        <v>425</v>
      </c>
      <c r="FK48" s="731" t="s">
        <v>426</v>
      </c>
      <c r="FL48" s="884"/>
      <c r="FM48" s="814"/>
      <c r="FN48" s="814"/>
      <c r="FO48" s="815"/>
      <c r="FP48" s="740" t="s">
        <v>394</v>
      </c>
      <c r="FQ48" s="666" t="s">
        <v>427</v>
      </c>
      <c r="FR48" s="660" t="s">
        <v>395</v>
      </c>
      <c r="FS48" s="986" t="s">
        <v>394</v>
      </c>
      <c r="FT48" s="666" t="s">
        <v>427</v>
      </c>
      <c r="FU48" s="987" t="s">
        <v>395</v>
      </c>
      <c r="FV48" s="988"/>
      <c r="FW48" s="982" t="s">
        <v>319</v>
      </c>
      <c r="FX48" s="986"/>
      <c r="FY48" s="982" t="s">
        <v>319</v>
      </c>
      <c r="FZ48" s="986"/>
      <c r="GA48" s="982" t="s">
        <v>319</v>
      </c>
      <c r="GB48" s="986"/>
      <c r="GC48" s="982" t="s">
        <v>319</v>
      </c>
      <c r="GD48" s="986"/>
      <c r="GE48" s="989" t="s">
        <v>320</v>
      </c>
      <c r="GF48" s="681"/>
      <c r="GG48" s="652"/>
      <c r="GH48" s="652"/>
      <c r="GI48" s="652"/>
      <c r="GJ48" s="527"/>
      <c r="GK48" s="612" t="s">
        <v>501</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396</v>
      </c>
      <c r="C49" s="991"/>
      <c r="D49" s="747">
        <v>53</v>
      </c>
      <c r="E49" s="748">
        <v>6</v>
      </c>
      <c r="F49" s="992" t="s">
        <v>397</v>
      </c>
      <c r="G49" s="750"/>
      <c r="H49" s="556"/>
      <c r="I49" s="751"/>
      <c r="J49" s="556"/>
      <c r="K49" s="751"/>
      <c r="L49" s="556"/>
      <c r="M49" s="751"/>
      <c r="N49" s="556"/>
      <c r="O49" s="751"/>
      <c r="P49" s="556"/>
      <c r="Q49" s="751"/>
      <c r="R49" s="556"/>
      <c r="S49" s="751"/>
      <c r="T49" s="556"/>
      <c r="U49" s="751"/>
      <c r="V49" s="556"/>
      <c r="W49" s="751">
        <v>1</v>
      </c>
      <c r="X49" s="556">
        <v>318</v>
      </c>
      <c r="Y49" s="751">
        <v>1</v>
      </c>
      <c r="Z49" s="556">
        <v>318</v>
      </c>
      <c r="AA49" s="751">
        <v>1</v>
      </c>
      <c r="AB49" s="556">
        <v>318</v>
      </c>
      <c r="AC49" s="751">
        <v>0.5</v>
      </c>
      <c r="AD49" s="556">
        <v>159</v>
      </c>
      <c r="AE49" s="751">
        <v>1</v>
      </c>
      <c r="AF49" s="556">
        <v>318</v>
      </c>
      <c r="AG49" s="751">
        <v>1</v>
      </c>
      <c r="AH49" s="556">
        <v>318</v>
      </c>
      <c r="AI49" s="751">
        <v>1</v>
      </c>
      <c r="AJ49" s="556">
        <v>318</v>
      </c>
      <c r="AK49" s="751">
        <v>1</v>
      </c>
      <c r="AL49" s="556">
        <v>318</v>
      </c>
      <c r="AM49" s="751">
        <v>1</v>
      </c>
      <c r="AN49" s="556">
        <v>318</v>
      </c>
      <c r="AO49" s="751">
        <v>1</v>
      </c>
      <c r="AP49" s="556">
        <v>318</v>
      </c>
      <c r="AQ49" s="751"/>
      <c r="AR49" s="556"/>
      <c r="AS49" s="751"/>
      <c r="AT49" s="556"/>
      <c r="AU49" s="751"/>
      <c r="AV49" s="556"/>
      <c r="AW49" s="751"/>
      <c r="AX49" s="556"/>
      <c r="AY49" s="993"/>
      <c r="AZ49" s="994"/>
      <c r="BA49" s="995"/>
      <c r="BB49" s="996"/>
      <c r="BC49" s="927"/>
      <c r="BD49" s="990"/>
      <c r="BE49" s="745" t="s">
        <v>396</v>
      </c>
      <c r="BF49" s="991"/>
      <c r="BG49" s="747"/>
      <c r="BH49" s="748">
        <v>6</v>
      </c>
      <c r="BI49" s="992" t="s">
        <v>397</v>
      </c>
      <c r="BJ49" s="750"/>
      <c r="BK49" s="556"/>
      <c r="BL49" s="751"/>
      <c r="BM49" s="556"/>
      <c r="BN49" s="751"/>
      <c r="BO49" s="556"/>
      <c r="BP49" s="751"/>
      <c r="BQ49" s="556"/>
      <c r="BR49" s="751"/>
      <c r="BS49" s="556"/>
      <c r="BT49" s="751"/>
      <c r="BU49" s="556"/>
      <c r="BV49" s="751"/>
      <c r="BW49" s="556"/>
      <c r="BX49" s="751"/>
      <c r="BY49" s="556"/>
      <c r="BZ49" s="751">
        <v>1</v>
      </c>
      <c r="CA49" s="556">
        <v>318</v>
      </c>
      <c r="CB49" s="751">
        <v>1</v>
      </c>
      <c r="CC49" s="556">
        <v>318</v>
      </c>
      <c r="CD49" s="751">
        <v>1</v>
      </c>
      <c r="CE49" s="556">
        <v>318</v>
      </c>
      <c r="CF49" s="751">
        <v>0.5</v>
      </c>
      <c r="CG49" s="556">
        <v>159</v>
      </c>
      <c r="CH49" s="751">
        <v>1</v>
      </c>
      <c r="CI49" s="556">
        <v>318</v>
      </c>
      <c r="CJ49" s="751">
        <v>1</v>
      </c>
      <c r="CK49" s="556">
        <v>318</v>
      </c>
      <c r="CL49" s="751">
        <v>1</v>
      </c>
      <c r="CM49" s="556">
        <v>318</v>
      </c>
      <c r="CN49" s="751">
        <v>1</v>
      </c>
      <c r="CO49" s="556">
        <v>318</v>
      </c>
      <c r="CP49" s="751">
        <v>1</v>
      </c>
      <c r="CQ49" s="556">
        <v>318</v>
      </c>
      <c r="CR49" s="751">
        <v>1</v>
      </c>
      <c r="CS49" s="556">
        <v>318</v>
      </c>
      <c r="CT49" s="751"/>
      <c r="CU49" s="556"/>
      <c r="CV49" s="751"/>
      <c r="CW49" s="556"/>
      <c r="CX49" s="751"/>
      <c r="CY49" s="556"/>
      <c r="CZ49" s="751"/>
      <c r="DA49" s="556"/>
      <c r="DB49" s="993"/>
      <c r="DC49" s="994"/>
      <c r="DD49" s="995"/>
      <c r="DE49" s="996"/>
      <c r="DF49" s="927"/>
      <c r="DG49" s="990"/>
      <c r="DH49" s="745" t="s">
        <v>396</v>
      </c>
      <c r="DI49" s="991"/>
      <c r="DJ49" s="747"/>
      <c r="DK49" s="748">
        <v>6</v>
      </c>
      <c r="DL49" s="992" t="s">
        <v>397</v>
      </c>
      <c r="DM49" s="750"/>
      <c r="DN49" s="556"/>
      <c r="DO49" s="751"/>
      <c r="DP49" s="556"/>
      <c r="DQ49" s="751"/>
      <c r="DR49" s="556"/>
      <c r="DS49" s="751"/>
      <c r="DT49" s="556"/>
      <c r="DU49" s="751"/>
      <c r="DV49" s="556"/>
      <c r="DW49" s="751"/>
      <c r="DX49" s="556"/>
      <c r="DY49" s="751"/>
      <c r="DZ49" s="556"/>
      <c r="EA49" s="751"/>
      <c r="EB49" s="556"/>
      <c r="EC49" s="751">
        <v>1</v>
      </c>
      <c r="ED49" s="556">
        <v>318</v>
      </c>
      <c r="EE49" s="751">
        <v>1</v>
      </c>
      <c r="EF49" s="556">
        <v>318</v>
      </c>
      <c r="EG49" s="751">
        <v>1</v>
      </c>
      <c r="EH49" s="556">
        <v>318</v>
      </c>
      <c r="EI49" s="751">
        <v>0.5</v>
      </c>
      <c r="EJ49" s="556">
        <v>159</v>
      </c>
      <c r="EK49" s="751">
        <v>1</v>
      </c>
      <c r="EL49" s="556">
        <v>318</v>
      </c>
      <c r="EM49" s="751">
        <v>1</v>
      </c>
      <c r="EN49" s="556">
        <v>318</v>
      </c>
      <c r="EO49" s="751">
        <v>1</v>
      </c>
      <c r="EP49" s="556">
        <v>318</v>
      </c>
      <c r="EQ49" s="751">
        <v>1</v>
      </c>
      <c r="ER49" s="556">
        <v>318</v>
      </c>
      <c r="ES49" s="751">
        <v>1</v>
      </c>
      <c r="ET49" s="556">
        <v>318</v>
      </c>
      <c r="EU49" s="751">
        <v>1</v>
      </c>
      <c r="EV49" s="556">
        <v>318</v>
      </c>
      <c r="EW49" s="751"/>
      <c r="EX49" s="556"/>
      <c r="EY49" s="751"/>
      <c r="EZ49" s="556"/>
      <c r="FA49" s="751"/>
      <c r="FB49" s="556"/>
      <c r="FC49" s="751"/>
      <c r="FD49" s="556"/>
      <c r="FE49" s="993"/>
      <c r="FF49" s="994"/>
      <c r="FG49" s="995"/>
      <c r="FH49" s="996"/>
      <c r="FI49" s="927"/>
      <c r="FJ49" s="990"/>
      <c r="FK49" s="745" t="s">
        <v>396</v>
      </c>
      <c r="FL49" s="991"/>
      <c r="FM49" s="752"/>
      <c r="FN49" s="748">
        <v>0</v>
      </c>
      <c r="FO49" s="992"/>
      <c r="FP49" s="678"/>
      <c r="FQ49" s="753"/>
      <c r="FR49" s="584">
        <v>0</v>
      </c>
      <c r="FS49" s="754"/>
      <c r="FT49" s="753"/>
      <c r="FU49" s="564">
        <v>0</v>
      </c>
      <c r="FV49" s="997" t="s">
        <v>327</v>
      </c>
      <c r="FW49" s="998"/>
      <c r="FX49" s="999" t="s">
        <v>328</v>
      </c>
      <c r="FY49" s="1000"/>
      <c r="FZ49" s="1001" t="s">
        <v>329</v>
      </c>
      <c r="GA49" s="1002"/>
      <c r="GB49" s="1003" t="s">
        <v>330</v>
      </c>
      <c r="GC49" s="1004"/>
      <c r="GD49" s="1003" t="s">
        <v>331</v>
      </c>
      <c r="GE49" s="1005"/>
      <c r="GF49" s="681"/>
      <c r="GG49" s="599"/>
      <c r="GH49" s="599"/>
      <c r="GI49" s="599"/>
      <c r="GJ49" s="577"/>
      <c r="GK49" s="414" t="s">
        <v>502</v>
      </c>
      <c r="GL49" s="577"/>
      <c r="GM49" s="414"/>
      <c r="GN49" s="577"/>
      <c r="GO49" s="414"/>
      <c r="GP49" s="414"/>
      <c r="GQ49" s="414"/>
      <c r="GR49" s="577"/>
      <c r="GS49" s="527"/>
      <c r="GT49" s="850"/>
      <c r="GU49" s="527" t="s">
        <v>480</v>
      </c>
      <c r="GV49" s="612"/>
      <c r="GW49" s="527"/>
      <c r="GX49" s="612"/>
      <c r="GY49" s="527"/>
      <c r="GZ49" s="392"/>
      <c r="HA49" s="577"/>
      <c r="HB49" s="392"/>
      <c r="HC49" s="1006"/>
      <c r="HD49" s="416"/>
    </row>
    <row r="50" spans="1:212" ht="20.100000000000001" customHeight="1">
      <c r="A50" s="990"/>
      <c r="B50" s="757" t="s">
        <v>403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503</v>
      </c>
      <c r="GL50" s="577"/>
      <c r="GM50" s="414"/>
      <c r="GN50" s="577"/>
      <c r="GO50" s="414"/>
      <c r="GP50" s="414"/>
      <c r="GQ50" s="414"/>
      <c r="GR50" s="577"/>
      <c r="GS50" s="942"/>
      <c r="GT50" s="926"/>
      <c r="GU50" s="577" t="s">
        <v>504</v>
      </c>
      <c r="GV50" s="577"/>
      <c r="GW50" s="577"/>
      <c r="GX50" s="577"/>
      <c r="GY50" s="612"/>
      <c r="GZ50" s="576"/>
      <c r="HA50" s="612">
        <v>36.4</v>
      </c>
      <c r="HB50" s="576" t="s">
        <v>462</v>
      </c>
      <c r="HC50" s="1027"/>
      <c r="HD50" s="416"/>
    </row>
    <row r="51" spans="1:212" ht="20.100000000000001" customHeight="1" thickBot="1">
      <c r="A51" s="1028"/>
      <c r="B51" s="463" t="s">
        <v>428</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428</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428</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428</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394</v>
      </c>
      <c r="GM51" s="1036" t="s">
        <v>505</v>
      </c>
      <c r="GN51" s="1037" t="s">
        <v>506</v>
      </c>
      <c r="GO51" s="1038" t="s">
        <v>507</v>
      </c>
      <c r="GP51" s="1038" t="s">
        <v>486</v>
      </c>
      <c r="GQ51" s="1039" t="s">
        <v>487</v>
      </c>
      <c r="GR51" s="726"/>
      <c r="GS51" s="942"/>
      <c r="GT51" s="756"/>
      <c r="GU51" s="577" t="s">
        <v>508</v>
      </c>
      <c r="GV51" s="577"/>
      <c r="GW51" s="577"/>
      <c r="GX51" s="577"/>
      <c r="GY51" s="414"/>
      <c r="GZ51" s="1040"/>
      <c r="HA51" s="612">
        <v>36.4</v>
      </c>
      <c r="HB51" s="576" t="s">
        <v>462</v>
      </c>
      <c r="HC51" s="1041"/>
      <c r="HD51" s="416"/>
    </row>
    <row r="52" spans="1:212" ht="20.100000000000001" customHeight="1" thickBot="1">
      <c r="A52" s="1042" t="s">
        <v>429</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318</v>
      </c>
      <c r="Y52" s="1048"/>
      <c r="Z52" s="1047">
        <v>318</v>
      </c>
      <c r="AA52" s="1048"/>
      <c r="AB52" s="1047">
        <v>318</v>
      </c>
      <c r="AC52" s="1048"/>
      <c r="AD52" s="1047">
        <v>159</v>
      </c>
      <c r="AE52" s="1048"/>
      <c r="AF52" s="1047">
        <v>318</v>
      </c>
      <c r="AG52" s="1048"/>
      <c r="AH52" s="1047">
        <v>318</v>
      </c>
      <c r="AI52" s="1048"/>
      <c r="AJ52" s="1047">
        <v>318</v>
      </c>
      <c r="AK52" s="1048"/>
      <c r="AL52" s="1047">
        <v>318</v>
      </c>
      <c r="AM52" s="1048"/>
      <c r="AN52" s="1047">
        <v>318</v>
      </c>
      <c r="AO52" s="1048"/>
      <c r="AP52" s="1047">
        <v>318</v>
      </c>
      <c r="AQ52" s="1048"/>
      <c r="AR52" s="1047">
        <v>0</v>
      </c>
      <c r="AS52" s="1048"/>
      <c r="AT52" s="1047">
        <v>0</v>
      </c>
      <c r="AU52" s="1048"/>
      <c r="AV52" s="1047">
        <v>0</v>
      </c>
      <c r="AW52" s="1048"/>
      <c r="AX52" s="1047">
        <v>0</v>
      </c>
      <c r="AY52" s="1049"/>
      <c r="AZ52" s="1050">
        <v>0</v>
      </c>
      <c r="BA52" s="1051"/>
      <c r="BB52" s="1052">
        <v>0</v>
      </c>
      <c r="BC52" s="970"/>
      <c r="BD52" s="1042" t="s">
        <v>429</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318</v>
      </c>
      <c r="CB52" s="1048"/>
      <c r="CC52" s="1047">
        <v>318</v>
      </c>
      <c r="CD52" s="1048"/>
      <c r="CE52" s="1047">
        <v>318</v>
      </c>
      <c r="CF52" s="1048"/>
      <c r="CG52" s="1047">
        <v>159</v>
      </c>
      <c r="CH52" s="1048"/>
      <c r="CI52" s="1047">
        <v>318</v>
      </c>
      <c r="CJ52" s="1048"/>
      <c r="CK52" s="1047">
        <v>318</v>
      </c>
      <c r="CL52" s="1048"/>
      <c r="CM52" s="1047">
        <v>318</v>
      </c>
      <c r="CN52" s="1048"/>
      <c r="CO52" s="1047">
        <v>318</v>
      </c>
      <c r="CP52" s="1048"/>
      <c r="CQ52" s="1047">
        <v>318</v>
      </c>
      <c r="CR52" s="1048"/>
      <c r="CS52" s="1047">
        <v>318</v>
      </c>
      <c r="CT52" s="1048"/>
      <c r="CU52" s="1047">
        <v>0</v>
      </c>
      <c r="CV52" s="1048"/>
      <c r="CW52" s="1047">
        <v>0</v>
      </c>
      <c r="CX52" s="1048"/>
      <c r="CY52" s="1047">
        <v>0</v>
      </c>
      <c r="CZ52" s="1048"/>
      <c r="DA52" s="1047">
        <v>0</v>
      </c>
      <c r="DB52" s="1049"/>
      <c r="DC52" s="1050">
        <v>0</v>
      </c>
      <c r="DD52" s="1051"/>
      <c r="DE52" s="1052">
        <v>0</v>
      </c>
      <c r="DF52" s="970"/>
      <c r="DG52" s="1042" t="s">
        <v>429</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318</v>
      </c>
      <c r="EE52" s="1048"/>
      <c r="EF52" s="1047">
        <v>318</v>
      </c>
      <c r="EG52" s="1048"/>
      <c r="EH52" s="1047">
        <v>318</v>
      </c>
      <c r="EI52" s="1048"/>
      <c r="EJ52" s="1047">
        <v>159</v>
      </c>
      <c r="EK52" s="1048"/>
      <c r="EL52" s="1047">
        <v>318</v>
      </c>
      <c r="EM52" s="1048"/>
      <c r="EN52" s="1047">
        <v>318</v>
      </c>
      <c r="EO52" s="1048"/>
      <c r="EP52" s="1047">
        <v>318</v>
      </c>
      <c r="EQ52" s="1048"/>
      <c r="ER52" s="1047">
        <v>318</v>
      </c>
      <c r="ES52" s="1048"/>
      <c r="ET52" s="1047">
        <v>318</v>
      </c>
      <c r="EU52" s="1048"/>
      <c r="EV52" s="1047">
        <v>318</v>
      </c>
      <c r="EW52" s="1048"/>
      <c r="EX52" s="1047">
        <v>0</v>
      </c>
      <c r="EY52" s="1048"/>
      <c r="EZ52" s="1047">
        <v>0</v>
      </c>
      <c r="FA52" s="1048"/>
      <c r="FB52" s="1047">
        <v>0</v>
      </c>
      <c r="FC52" s="1048"/>
      <c r="FD52" s="1047">
        <v>0</v>
      </c>
      <c r="FE52" s="1049"/>
      <c r="FF52" s="1050">
        <v>0</v>
      </c>
      <c r="FG52" s="1051"/>
      <c r="FH52" s="1052">
        <v>0</v>
      </c>
      <c r="FI52" s="970"/>
      <c r="FJ52" s="1042" t="s">
        <v>429</v>
      </c>
      <c r="FK52" s="1043"/>
      <c r="FL52" s="1044"/>
      <c r="FM52" s="1044"/>
      <c r="FN52" s="1045"/>
      <c r="FO52" s="1044"/>
      <c r="FP52" s="1053"/>
      <c r="FQ52" s="1054"/>
      <c r="FR52" s="1047">
        <v>0</v>
      </c>
      <c r="FS52" s="1055"/>
      <c r="FT52" s="1054"/>
      <c r="FU52" s="1056">
        <v>0</v>
      </c>
      <c r="FV52" s="1057">
        <v>14</v>
      </c>
      <c r="FW52" s="1058">
        <v>318</v>
      </c>
      <c r="FX52" s="1059">
        <v>14</v>
      </c>
      <c r="FY52" s="1058">
        <v>318</v>
      </c>
      <c r="FZ52" s="1059">
        <v>13</v>
      </c>
      <c r="GA52" s="1058">
        <v>318</v>
      </c>
      <c r="GB52" s="1060" t="s">
        <v>354</v>
      </c>
      <c r="GC52" s="1061">
        <v>318</v>
      </c>
      <c r="GD52" s="1060" t="s">
        <v>356</v>
      </c>
      <c r="GE52" s="1062">
        <v>0</v>
      </c>
      <c r="GF52" s="681"/>
      <c r="GG52" s="979"/>
      <c r="GH52" s="979"/>
      <c r="GI52" s="979"/>
      <c r="GJ52" s="925"/>
      <c r="GK52" s="726"/>
      <c r="GL52" s="1063"/>
      <c r="GM52" s="1064"/>
      <c r="GN52" s="1064"/>
      <c r="GO52" s="1065"/>
      <c r="GP52" s="1065"/>
      <c r="GQ52" s="1066"/>
      <c r="GR52" s="942"/>
      <c r="GS52" s="882"/>
      <c r="GT52" s="850"/>
      <c r="GU52" s="527" t="s">
        <v>482</v>
      </c>
      <c r="GV52" s="726"/>
      <c r="GW52" s="925"/>
      <c r="GX52" s="726"/>
      <c r="GY52" s="414"/>
      <c r="GZ52" s="1067"/>
      <c r="HA52" s="942"/>
      <c r="HB52" s="1067"/>
      <c r="HC52" s="559"/>
      <c r="HD52" s="416"/>
    </row>
    <row r="53" spans="1:212" ht="20.100000000000001" customHeight="1" thickTop="1">
      <c r="A53" s="1068" t="s">
        <v>430</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5316</v>
      </c>
      <c r="Y53" s="1075"/>
      <c r="Z53" s="1074">
        <v>4991</v>
      </c>
      <c r="AA53" s="1075"/>
      <c r="AB53" s="1074">
        <v>5256</v>
      </c>
      <c r="AC53" s="1075"/>
      <c r="AD53" s="1074">
        <v>5263</v>
      </c>
      <c r="AE53" s="1075"/>
      <c r="AF53" s="1074">
        <v>5895</v>
      </c>
      <c r="AG53" s="1075"/>
      <c r="AH53" s="1074">
        <v>5908</v>
      </c>
      <c r="AI53" s="1075"/>
      <c r="AJ53" s="1074">
        <v>5646</v>
      </c>
      <c r="AK53" s="1075"/>
      <c r="AL53" s="1074">
        <v>5264</v>
      </c>
      <c r="AM53" s="1075"/>
      <c r="AN53" s="1074">
        <v>4776</v>
      </c>
      <c r="AO53" s="1075"/>
      <c r="AP53" s="1074">
        <v>4330</v>
      </c>
      <c r="AQ53" s="1075"/>
      <c r="AR53" s="1074">
        <v>0</v>
      </c>
      <c r="AS53" s="1075"/>
      <c r="AT53" s="1074">
        <v>0</v>
      </c>
      <c r="AU53" s="1075"/>
      <c r="AV53" s="1074">
        <v>0</v>
      </c>
      <c r="AW53" s="1075"/>
      <c r="AX53" s="1074">
        <v>0</v>
      </c>
      <c r="AY53" s="1076"/>
      <c r="AZ53" s="1077">
        <v>0</v>
      </c>
      <c r="BA53" s="1078"/>
      <c r="BB53" s="1079">
        <v>0</v>
      </c>
      <c r="BC53" s="970"/>
      <c r="BD53" s="1068" t="s">
        <v>430</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5205</v>
      </c>
      <c r="CB53" s="1075"/>
      <c r="CC53" s="1074">
        <v>4810</v>
      </c>
      <c r="CD53" s="1075"/>
      <c r="CE53" s="1074">
        <v>5168</v>
      </c>
      <c r="CF53" s="1075"/>
      <c r="CG53" s="1074">
        <v>5336</v>
      </c>
      <c r="CH53" s="1075"/>
      <c r="CI53" s="1074">
        <v>6085</v>
      </c>
      <c r="CJ53" s="1075"/>
      <c r="CK53" s="1074">
        <v>6155</v>
      </c>
      <c r="CL53" s="1075"/>
      <c r="CM53" s="1074">
        <v>5964</v>
      </c>
      <c r="CN53" s="1075"/>
      <c r="CO53" s="1074">
        <v>5550</v>
      </c>
      <c r="CP53" s="1075"/>
      <c r="CQ53" s="1074">
        <v>5026</v>
      </c>
      <c r="CR53" s="1075"/>
      <c r="CS53" s="1074">
        <v>4401</v>
      </c>
      <c r="CT53" s="1075"/>
      <c r="CU53" s="1074">
        <v>0</v>
      </c>
      <c r="CV53" s="1075"/>
      <c r="CW53" s="1074">
        <v>0</v>
      </c>
      <c r="CX53" s="1075"/>
      <c r="CY53" s="1074">
        <v>0</v>
      </c>
      <c r="CZ53" s="1075"/>
      <c r="DA53" s="1074">
        <v>0</v>
      </c>
      <c r="DB53" s="1076"/>
      <c r="DC53" s="1077">
        <v>0</v>
      </c>
      <c r="DD53" s="1078"/>
      <c r="DE53" s="1079">
        <v>0</v>
      </c>
      <c r="DF53" s="970"/>
      <c r="DG53" s="1068" t="s">
        <v>430</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4742</v>
      </c>
      <c r="EE53" s="1075"/>
      <c r="EF53" s="1074">
        <v>4754</v>
      </c>
      <c r="EG53" s="1075"/>
      <c r="EH53" s="1074">
        <v>5656</v>
      </c>
      <c r="EI53" s="1075"/>
      <c r="EJ53" s="1074">
        <v>5925</v>
      </c>
      <c r="EK53" s="1075"/>
      <c r="EL53" s="1074">
        <v>6581</v>
      </c>
      <c r="EM53" s="1075"/>
      <c r="EN53" s="1074">
        <v>6548</v>
      </c>
      <c r="EO53" s="1075"/>
      <c r="EP53" s="1074">
        <v>6197</v>
      </c>
      <c r="EQ53" s="1075"/>
      <c r="ER53" s="1074">
        <v>5565</v>
      </c>
      <c r="ES53" s="1075"/>
      <c r="ET53" s="1074">
        <v>4727</v>
      </c>
      <c r="EU53" s="1075"/>
      <c r="EV53" s="1074">
        <v>3927</v>
      </c>
      <c r="EW53" s="1075"/>
      <c r="EX53" s="1074">
        <v>0</v>
      </c>
      <c r="EY53" s="1075"/>
      <c r="EZ53" s="1074">
        <v>0</v>
      </c>
      <c r="FA53" s="1075"/>
      <c r="FB53" s="1074">
        <v>0</v>
      </c>
      <c r="FC53" s="1075"/>
      <c r="FD53" s="1074">
        <v>0</v>
      </c>
      <c r="FE53" s="1076"/>
      <c r="FF53" s="1077">
        <v>0</v>
      </c>
      <c r="FG53" s="1078"/>
      <c r="FH53" s="1079">
        <v>0</v>
      </c>
      <c r="FI53" s="970"/>
      <c r="FJ53" s="1068" t="s">
        <v>430</v>
      </c>
      <c r="FK53" s="1069"/>
      <c r="FL53" s="1070"/>
      <c r="FM53" s="1070"/>
      <c r="FN53" s="1071"/>
      <c r="FO53" s="1072"/>
      <c r="FP53" s="1080"/>
      <c r="FQ53" s="1081"/>
      <c r="FR53" s="1074">
        <v>6209</v>
      </c>
      <c r="FS53" s="1082"/>
      <c r="FT53" s="1081"/>
      <c r="FU53" s="1083">
        <v>6289</v>
      </c>
      <c r="FV53" s="1084">
        <v>14</v>
      </c>
      <c r="FW53" s="1085">
        <v>5908</v>
      </c>
      <c r="FX53" s="1086">
        <v>14</v>
      </c>
      <c r="FY53" s="1085">
        <v>6155</v>
      </c>
      <c r="FZ53" s="1086">
        <v>13</v>
      </c>
      <c r="GA53" s="1085">
        <v>6581</v>
      </c>
      <c r="GB53" s="1087" t="s">
        <v>354</v>
      </c>
      <c r="GC53" s="1085">
        <v>6581</v>
      </c>
      <c r="GD53" s="1087" t="s">
        <v>356</v>
      </c>
      <c r="GE53" s="1088">
        <v>6289</v>
      </c>
      <c r="GF53" s="681"/>
      <c r="GG53" s="979"/>
      <c r="GH53" s="979"/>
      <c r="GI53" s="979"/>
      <c r="GJ53" s="942"/>
      <c r="GK53" s="414"/>
      <c r="GL53" s="1089">
        <v>10</v>
      </c>
      <c r="GM53" s="1090">
        <v>1</v>
      </c>
      <c r="GN53" s="1091">
        <v>0.92</v>
      </c>
      <c r="GO53" s="1092">
        <v>5.7</v>
      </c>
      <c r="GP53" s="1092">
        <v>13</v>
      </c>
      <c r="GQ53" s="1093">
        <v>18.7</v>
      </c>
      <c r="GR53" s="577"/>
      <c r="GS53" s="480"/>
      <c r="GT53" s="850"/>
      <c r="GU53" s="577" t="s">
        <v>509</v>
      </c>
      <c r="GV53" s="577"/>
      <c r="GW53" s="577"/>
      <c r="GX53" s="577"/>
      <c r="GY53" s="414"/>
      <c r="GZ53" s="410"/>
      <c r="HA53" s="612">
        <v>13.4</v>
      </c>
      <c r="HB53" s="576" t="s">
        <v>462</v>
      </c>
      <c r="HC53" s="792"/>
      <c r="HD53" s="416"/>
    </row>
    <row r="54" spans="1:212" ht="20.100000000000001" customHeight="1">
      <c r="A54" s="1094" t="s">
        <v>431</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91.1</v>
      </c>
      <c r="AA54" s="1102"/>
      <c r="AB54" s="1101">
        <v>95.9</v>
      </c>
      <c r="AC54" s="1102"/>
      <c r="AD54" s="1101">
        <v>96</v>
      </c>
      <c r="AE54" s="1102"/>
      <c r="AF54" s="1101">
        <v>107.6</v>
      </c>
      <c r="AG54" s="1102"/>
      <c r="AH54" s="1101">
        <v>107.8</v>
      </c>
      <c r="AI54" s="1102"/>
      <c r="AJ54" s="1101">
        <v>103</v>
      </c>
      <c r="AK54" s="1102"/>
      <c r="AL54" s="1101">
        <v>96.1</v>
      </c>
      <c r="AM54" s="1102"/>
      <c r="AN54" s="1101">
        <v>87.2</v>
      </c>
      <c r="AO54" s="1102"/>
      <c r="AP54" s="1101">
        <v>79</v>
      </c>
      <c r="AQ54" s="1102"/>
      <c r="AR54" s="1101">
        <v>0</v>
      </c>
      <c r="AS54" s="1102"/>
      <c r="AT54" s="1101">
        <v>0</v>
      </c>
      <c r="AU54" s="1102"/>
      <c r="AV54" s="1101">
        <v>0</v>
      </c>
      <c r="AW54" s="1102"/>
      <c r="AX54" s="1101">
        <v>0</v>
      </c>
      <c r="AY54" s="1102"/>
      <c r="AZ54" s="1101">
        <v>0</v>
      </c>
      <c r="BA54" s="1102"/>
      <c r="BB54" s="1103">
        <v>0</v>
      </c>
      <c r="BC54" s="1006"/>
      <c r="BD54" s="1094" t="s">
        <v>431</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95</v>
      </c>
      <c r="CB54" s="1102"/>
      <c r="CC54" s="1101">
        <v>87.8</v>
      </c>
      <c r="CD54" s="1102"/>
      <c r="CE54" s="1101">
        <v>94.3</v>
      </c>
      <c r="CF54" s="1102"/>
      <c r="CG54" s="1101">
        <v>97.4</v>
      </c>
      <c r="CH54" s="1102"/>
      <c r="CI54" s="1101">
        <v>111</v>
      </c>
      <c r="CJ54" s="1102"/>
      <c r="CK54" s="1101">
        <v>112.3</v>
      </c>
      <c r="CL54" s="1102"/>
      <c r="CM54" s="1101">
        <v>108.8</v>
      </c>
      <c r="CN54" s="1102"/>
      <c r="CO54" s="1101">
        <v>101.3</v>
      </c>
      <c r="CP54" s="1102"/>
      <c r="CQ54" s="1101">
        <v>91.7</v>
      </c>
      <c r="CR54" s="1102"/>
      <c r="CS54" s="1101">
        <v>80.3</v>
      </c>
      <c r="CT54" s="1102"/>
      <c r="CU54" s="1101">
        <v>0</v>
      </c>
      <c r="CV54" s="1102"/>
      <c r="CW54" s="1101">
        <v>0</v>
      </c>
      <c r="CX54" s="1102"/>
      <c r="CY54" s="1101">
        <v>0</v>
      </c>
      <c r="CZ54" s="1102"/>
      <c r="DA54" s="1101">
        <v>0</v>
      </c>
      <c r="DB54" s="1102"/>
      <c r="DC54" s="1101">
        <v>0</v>
      </c>
      <c r="DD54" s="1102"/>
      <c r="DE54" s="1103">
        <v>0</v>
      </c>
      <c r="DF54" s="1006"/>
      <c r="DG54" s="1094" t="s">
        <v>431</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86.5</v>
      </c>
      <c r="EE54" s="1102"/>
      <c r="EF54" s="1101">
        <v>86.8</v>
      </c>
      <c r="EG54" s="1102"/>
      <c r="EH54" s="1101">
        <v>103.2</v>
      </c>
      <c r="EI54" s="1102"/>
      <c r="EJ54" s="1101">
        <v>108.1</v>
      </c>
      <c r="EK54" s="1102"/>
      <c r="EL54" s="1101">
        <v>120.1</v>
      </c>
      <c r="EM54" s="1102"/>
      <c r="EN54" s="1101">
        <v>119.5</v>
      </c>
      <c r="EO54" s="1102"/>
      <c r="EP54" s="1101">
        <v>113.1</v>
      </c>
      <c r="EQ54" s="1102"/>
      <c r="ER54" s="1101">
        <v>101.6</v>
      </c>
      <c r="ES54" s="1102"/>
      <c r="ET54" s="1101">
        <v>86.3</v>
      </c>
      <c r="EU54" s="1102"/>
      <c r="EV54" s="1101">
        <v>71.7</v>
      </c>
      <c r="EW54" s="1102"/>
      <c r="EX54" s="1101">
        <v>0</v>
      </c>
      <c r="EY54" s="1102"/>
      <c r="EZ54" s="1101">
        <v>0</v>
      </c>
      <c r="FA54" s="1102"/>
      <c r="FB54" s="1101">
        <v>0</v>
      </c>
      <c r="FC54" s="1102"/>
      <c r="FD54" s="1101">
        <v>0</v>
      </c>
      <c r="FE54" s="1102"/>
      <c r="FF54" s="1101">
        <v>0</v>
      </c>
      <c r="FG54" s="1102"/>
      <c r="FH54" s="1103">
        <v>0</v>
      </c>
      <c r="FI54" s="1006"/>
      <c r="FJ54" s="1094" t="s">
        <v>431</v>
      </c>
      <c r="FK54" s="1095"/>
      <c r="FL54" s="1096"/>
      <c r="FM54" s="1097"/>
      <c r="FN54" s="1098"/>
      <c r="FO54" s="1099"/>
      <c r="FP54" s="1104"/>
      <c r="FQ54" s="1102"/>
      <c r="FR54" s="1101">
        <v>113.3</v>
      </c>
      <c r="FS54" s="1105"/>
      <c r="FT54" s="1102"/>
      <c r="FU54" s="1106">
        <v>114.8</v>
      </c>
      <c r="FV54" s="1105"/>
      <c r="FW54" s="1101">
        <f>IF(面積=0,0,ROUND(FW53/面積,1))</f>
        <v>107.8</v>
      </c>
      <c r="FX54" s="1105"/>
      <c r="FY54" s="1101">
        <f>IF(面積=0,0,ROUND(FY53/面積,1))</f>
        <v>112.3</v>
      </c>
      <c r="FZ54" s="1105"/>
      <c r="GA54" s="1101">
        <f>IF(面積=0,0,ROUND(GA53/面積,1))</f>
        <v>120.1</v>
      </c>
      <c r="GB54" s="1105"/>
      <c r="GC54" s="1101">
        <f>IF(面積=0,0,ROUND(GC53/面積,1))</f>
        <v>120.1</v>
      </c>
      <c r="GD54" s="1105"/>
      <c r="GE54" s="1103">
        <f>IF(面積=0,0,ROUND(GE53/面積,1))</f>
        <v>114.8</v>
      </c>
      <c r="GF54" s="681"/>
      <c r="GG54" s="926"/>
      <c r="GH54" s="926"/>
      <c r="GI54" s="926"/>
      <c r="GJ54" s="577"/>
      <c r="GK54" s="576"/>
      <c r="GL54" s="1089">
        <v>11</v>
      </c>
      <c r="GM54" s="1090">
        <v>2</v>
      </c>
      <c r="GN54" s="1091">
        <v>0.85</v>
      </c>
      <c r="GO54" s="1092">
        <v>5.3</v>
      </c>
      <c r="GP54" s="1092">
        <v>13</v>
      </c>
      <c r="GQ54" s="1093">
        <v>18.3</v>
      </c>
      <c r="GR54" s="527"/>
      <c r="GS54" s="577"/>
      <c r="GT54" s="850"/>
      <c r="GU54" s="1107" t="s">
        <v>510</v>
      </c>
      <c r="GV54" s="1107"/>
      <c r="GW54" s="1107"/>
      <c r="GX54" s="1107"/>
      <c r="GY54" s="768"/>
      <c r="GZ54" s="1108"/>
      <c r="HA54" s="1109">
        <v>49.8</v>
      </c>
      <c r="HB54" s="1110" t="s">
        <v>462</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4.8</v>
      </c>
      <c r="GP55" s="1092">
        <v>13</v>
      </c>
      <c r="GQ55" s="1093">
        <v>17.8</v>
      </c>
      <c r="GR55" s="527"/>
      <c r="GS55" s="527"/>
      <c r="GT55" s="1115"/>
      <c r="GU55" s="1116"/>
      <c r="GV55" s="576"/>
      <c r="GW55" s="527"/>
      <c r="GX55" s="576"/>
      <c r="GY55" s="392"/>
      <c r="GZ55" s="526"/>
      <c r="HA55" s="577"/>
      <c r="HB55" s="526"/>
      <c r="HC55" s="392"/>
      <c r="HD55" s="388"/>
    </row>
    <row r="56" spans="1:212" ht="20.100000000000001" customHeight="1">
      <c r="A56" s="1117" t="s">
        <v>332</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332</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332</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333</v>
      </c>
      <c r="FK56" s="1118"/>
      <c r="FL56" s="1118"/>
      <c r="FM56" s="1118"/>
      <c r="FN56" s="1119"/>
      <c r="FO56" s="1119"/>
      <c r="FP56" s="1125" t="s">
        <v>334</v>
      </c>
      <c r="FQ56" s="1126"/>
      <c r="FR56" s="1127"/>
      <c r="FS56" s="1128" t="s">
        <v>286</v>
      </c>
      <c r="FT56" s="1129"/>
      <c r="FU56" s="1130"/>
      <c r="FV56" s="1131" t="s">
        <v>335</v>
      </c>
      <c r="FW56" s="1132"/>
      <c r="FX56" s="1133" t="s">
        <v>336</v>
      </c>
      <c r="FY56" s="1134"/>
      <c r="FZ56" s="1135" t="s">
        <v>337</v>
      </c>
      <c r="GA56" s="1136"/>
      <c r="GB56" s="1137" t="s">
        <v>338</v>
      </c>
      <c r="GC56" s="1122"/>
      <c r="GD56" s="1137" t="s">
        <v>339</v>
      </c>
      <c r="GE56" s="1124"/>
      <c r="GF56" s="681"/>
      <c r="GG56" s="480"/>
      <c r="GH56" s="480"/>
      <c r="GI56" s="480"/>
      <c r="GJ56" s="527"/>
      <c r="GK56" s="576"/>
      <c r="GL56" s="1089">
        <v>13</v>
      </c>
      <c r="GM56" s="1090">
        <v>4</v>
      </c>
      <c r="GN56" s="1091">
        <v>0.72</v>
      </c>
      <c r="GO56" s="1092">
        <v>4.5</v>
      </c>
      <c r="GP56" s="1092">
        <v>13</v>
      </c>
      <c r="GQ56" s="1093">
        <v>17.5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340</v>
      </c>
      <c r="H57" s="1143" t="s">
        <v>319</v>
      </c>
      <c r="I57" s="1144" t="s">
        <v>340</v>
      </c>
      <c r="J57" s="1143" t="s">
        <v>319</v>
      </c>
      <c r="K57" s="1144" t="s">
        <v>340</v>
      </c>
      <c r="L57" s="1143" t="s">
        <v>319</v>
      </c>
      <c r="M57" s="1144" t="s">
        <v>340</v>
      </c>
      <c r="N57" s="1143" t="s">
        <v>319</v>
      </c>
      <c r="O57" s="1144" t="s">
        <v>340</v>
      </c>
      <c r="P57" s="1143" t="s">
        <v>319</v>
      </c>
      <c r="Q57" s="1144" t="s">
        <v>340</v>
      </c>
      <c r="R57" s="1143" t="s">
        <v>319</v>
      </c>
      <c r="S57" s="1144" t="s">
        <v>340</v>
      </c>
      <c r="T57" s="1143" t="s">
        <v>319</v>
      </c>
      <c r="U57" s="1144" t="s">
        <v>340</v>
      </c>
      <c r="V57" s="1143" t="s">
        <v>319</v>
      </c>
      <c r="W57" s="1144" t="s">
        <v>340</v>
      </c>
      <c r="X57" s="1143" t="s">
        <v>319</v>
      </c>
      <c r="Y57" s="1144" t="s">
        <v>340</v>
      </c>
      <c r="Z57" s="1143" t="s">
        <v>319</v>
      </c>
      <c r="AA57" s="1144" t="s">
        <v>340</v>
      </c>
      <c r="AB57" s="1143" t="s">
        <v>319</v>
      </c>
      <c r="AC57" s="1144" t="s">
        <v>340</v>
      </c>
      <c r="AD57" s="1143" t="s">
        <v>340</v>
      </c>
      <c r="AE57" s="1144" t="s">
        <v>340</v>
      </c>
      <c r="AF57" s="1143" t="s">
        <v>319</v>
      </c>
      <c r="AG57" s="1144" t="s">
        <v>340</v>
      </c>
      <c r="AH57" s="1143" t="s">
        <v>319</v>
      </c>
      <c r="AI57" s="1144" t="s">
        <v>340</v>
      </c>
      <c r="AJ57" s="1143" t="s">
        <v>319</v>
      </c>
      <c r="AK57" s="1144" t="s">
        <v>340</v>
      </c>
      <c r="AL57" s="1143" t="s">
        <v>319</v>
      </c>
      <c r="AM57" s="1144" t="s">
        <v>340</v>
      </c>
      <c r="AN57" s="1143" t="s">
        <v>319</v>
      </c>
      <c r="AO57" s="1144" t="s">
        <v>340</v>
      </c>
      <c r="AP57" s="1143" t="s">
        <v>319</v>
      </c>
      <c r="AQ57" s="1144" t="s">
        <v>340</v>
      </c>
      <c r="AR57" s="1143" t="s">
        <v>319</v>
      </c>
      <c r="AS57" s="1144" t="s">
        <v>340</v>
      </c>
      <c r="AT57" s="1143" t="s">
        <v>319</v>
      </c>
      <c r="AU57" s="1144" t="s">
        <v>340</v>
      </c>
      <c r="AV57" s="1143" t="s">
        <v>319</v>
      </c>
      <c r="AW57" s="1144" t="s">
        <v>340</v>
      </c>
      <c r="AX57" s="1143" t="s">
        <v>319</v>
      </c>
      <c r="AY57" s="1144" t="s">
        <v>340</v>
      </c>
      <c r="AZ57" s="1143" t="s">
        <v>319</v>
      </c>
      <c r="BA57" s="1145" t="s">
        <v>340</v>
      </c>
      <c r="BB57" s="1146" t="s">
        <v>319</v>
      </c>
      <c r="BC57" s="1041"/>
      <c r="BD57" s="1138"/>
      <c r="BE57" s="1139"/>
      <c r="BF57" s="1139"/>
      <c r="BG57" s="1139"/>
      <c r="BH57" s="1140"/>
      <c r="BI57" s="1141"/>
      <c r="BJ57" s="1142" t="s">
        <v>340</v>
      </c>
      <c r="BK57" s="1143" t="s">
        <v>319</v>
      </c>
      <c r="BL57" s="1144" t="s">
        <v>340</v>
      </c>
      <c r="BM57" s="1143" t="s">
        <v>319</v>
      </c>
      <c r="BN57" s="1144" t="s">
        <v>340</v>
      </c>
      <c r="BO57" s="1143" t="s">
        <v>319</v>
      </c>
      <c r="BP57" s="1144" t="s">
        <v>340</v>
      </c>
      <c r="BQ57" s="1143" t="s">
        <v>319</v>
      </c>
      <c r="BR57" s="1144" t="s">
        <v>340</v>
      </c>
      <c r="BS57" s="1143" t="s">
        <v>319</v>
      </c>
      <c r="BT57" s="1144" t="s">
        <v>340</v>
      </c>
      <c r="BU57" s="1143" t="s">
        <v>319</v>
      </c>
      <c r="BV57" s="1144" t="s">
        <v>340</v>
      </c>
      <c r="BW57" s="1143" t="s">
        <v>319</v>
      </c>
      <c r="BX57" s="1144" t="s">
        <v>340</v>
      </c>
      <c r="BY57" s="1143" t="s">
        <v>319</v>
      </c>
      <c r="BZ57" s="1144" t="s">
        <v>340</v>
      </c>
      <c r="CA57" s="1143" t="s">
        <v>319</v>
      </c>
      <c r="CB57" s="1144" t="s">
        <v>340</v>
      </c>
      <c r="CC57" s="1143" t="s">
        <v>319</v>
      </c>
      <c r="CD57" s="1144" t="s">
        <v>340</v>
      </c>
      <c r="CE57" s="1143" t="s">
        <v>319</v>
      </c>
      <c r="CF57" s="1144" t="s">
        <v>340</v>
      </c>
      <c r="CG57" s="1143" t="s">
        <v>340</v>
      </c>
      <c r="CH57" s="1144" t="s">
        <v>340</v>
      </c>
      <c r="CI57" s="1143" t="s">
        <v>319</v>
      </c>
      <c r="CJ57" s="1144" t="s">
        <v>340</v>
      </c>
      <c r="CK57" s="1143" t="s">
        <v>319</v>
      </c>
      <c r="CL57" s="1144" t="s">
        <v>340</v>
      </c>
      <c r="CM57" s="1143" t="s">
        <v>319</v>
      </c>
      <c r="CN57" s="1144" t="s">
        <v>340</v>
      </c>
      <c r="CO57" s="1143" t="s">
        <v>319</v>
      </c>
      <c r="CP57" s="1144" t="s">
        <v>340</v>
      </c>
      <c r="CQ57" s="1143" t="s">
        <v>319</v>
      </c>
      <c r="CR57" s="1144" t="s">
        <v>340</v>
      </c>
      <c r="CS57" s="1143" t="s">
        <v>319</v>
      </c>
      <c r="CT57" s="1144" t="s">
        <v>340</v>
      </c>
      <c r="CU57" s="1143" t="s">
        <v>319</v>
      </c>
      <c r="CV57" s="1144" t="s">
        <v>340</v>
      </c>
      <c r="CW57" s="1143" t="s">
        <v>319</v>
      </c>
      <c r="CX57" s="1144" t="s">
        <v>340</v>
      </c>
      <c r="CY57" s="1143" t="s">
        <v>319</v>
      </c>
      <c r="CZ57" s="1144" t="s">
        <v>340</v>
      </c>
      <c r="DA57" s="1143" t="s">
        <v>319</v>
      </c>
      <c r="DB57" s="1144" t="s">
        <v>340</v>
      </c>
      <c r="DC57" s="1143" t="s">
        <v>319</v>
      </c>
      <c r="DD57" s="1145" t="s">
        <v>340</v>
      </c>
      <c r="DE57" s="1146" t="s">
        <v>319</v>
      </c>
      <c r="DF57" s="1041"/>
      <c r="DG57" s="1138"/>
      <c r="DH57" s="1139"/>
      <c r="DI57" s="1139"/>
      <c r="DJ57" s="1139"/>
      <c r="DK57" s="1140"/>
      <c r="DL57" s="1141"/>
      <c r="DM57" s="1142" t="s">
        <v>340</v>
      </c>
      <c r="DN57" s="1143" t="s">
        <v>319</v>
      </c>
      <c r="DO57" s="1144" t="s">
        <v>340</v>
      </c>
      <c r="DP57" s="1143" t="s">
        <v>319</v>
      </c>
      <c r="DQ57" s="1144" t="s">
        <v>340</v>
      </c>
      <c r="DR57" s="1143" t="s">
        <v>319</v>
      </c>
      <c r="DS57" s="1144" t="s">
        <v>340</v>
      </c>
      <c r="DT57" s="1143" t="s">
        <v>319</v>
      </c>
      <c r="DU57" s="1144" t="s">
        <v>340</v>
      </c>
      <c r="DV57" s="1143" t="s">
        <v>319</v>
      </c>
      <c r="DW57" s="1144" t="s">
        <v>340</v>
      </c>
      <c r="DX57" s="1143" t="s">
        <v>319</v>
      </c>
      <c r="DY57" s="1144" t="s">
        <v>340</v>
      </c>
      <c r="DZ57" s="1143" t="s">
        <v>319</v>
      </c>
      <c r="EA57" s="1144" t="s">
        <v>340</v>
      </c>
      <c r="EB57" s="1143" t="s">
        <v>319</v>
      </c>
      <c r="EC57" s="1144" t="s">
        <v>340</v>
      </c>
      <c r="ED57" s="1143" t="s">
        <v>319</v>
      </c>
      <c r="EE57" s="1144" t="s">
        <v>340</v>
      </c>
      <c r="EF57" s="1143" t="s">
        <v>319</v>
      </c>
      <c r="EG57" s="1144" t="s">
        <v>340</v>
      </c>
      <c r="EH57" s="1143" t="s">
        <v>319</v>
      </c>
      <c r="EI57" s="1144" t="s">
        <v>340</v>
      </c>
      <c r="EJ57" s="1143" t="s">
        <v>340</v>
      </c>
      <c r="EK57" s="1144" t="s">
        <v>340</v>
      </c>
      <c r="EL57" s="1143" t="s">
        <v>319</v>
      </c>
      <c r="EM57" s="1144" t="s">
        <v>340</v>
      </c>
      <c r="EN57" s="1143" t="s">
        <v>319</v>
      </c>
      <c r="EO57" s="1144" t="s">
        <v>340</v>
      </c>
      <c r="EP57" s="1143" t="s">
        <v>319</v>
      </c>
      <c r="EQ57" s="1144" t="s">
        <v>340</v>
      </c>
      <c r="ER57" s="1143" t="s">
        <v>319</v>
      </c>
      <c r="ES57" s="1144" t="s">
        <v>340</v>
      </c>
      <c r="ET57" s="1143" t="s">
        <v>319</v>
      </c>
      <c r="EU57" s="1144" t="s">
        <v>340</v>
      </c>
      <c r="EV57" s="1143" t="s">
        <v>319</v>
      </c>
      <c r="EW57" s="1144" t="s">
        <v>340</v>
      </c>
      <c r="EX57" s="1143" t="s">
        <v>319</v>
      </c>
      <c r="EY57" s="1144" t="s">
        <v>340</v>
      </c>
      <c r="EZ57" s="1143" t="s">
        <v>319</v>
      </c>
      <c r="FA57" s="1144" t="s">
        <v>340</v>
      </c>
      <c r="FB57" s="1143" t="s">
        <v>319</v>
      </c>
      <c r="FC57" s="1144" t="s">
        <v>340</v>
      </c>
      <c r="FD57" s="1143" t="s">
        <v>319</v>
      </c>
      <c r="FE57" s="1144" t="s">
        <v>340</v>
      </c>
      <c r="FF57" s="1143" t="s">
        <v>319</v>
      </c>
      <c r="FG57" s="1145" t="s">
        <v>340</v>
      </c>
      <c r="FH57" s="1146" t="s">
        <v>319</v>
      </c>
      <c r="FI57" s="1041"/>
      <c r="FJ57" s="1138"/>
      <c r="FK57" s="1139"/>
      <c r="FL57" s="1139"/>
      <c r="FM57" s="1139"/>
      <c r="FN57" s="1140"/>
      <c r="FO57" s="1141"/>
      <c r="FP57" s="1147" t="s">
        <v>43</v>
      </c>
      <c r="FQ57" s="1145" t="s">
        <v>340</v>
      </c>
      <c r="FR57" s="1143" t="s">
        <v>320</v>
      </c>
      <c r="FS57" s="1148" t="s">
        <v>43</v>
      </c>
      <c r="FT57" s="1145" t="s">
        <v>340</v>
      </c>
      <c r="FU57" s="1149" t="s">
        <v>320</v>
      </c>
      <c r="FV57" s="1150" t="s">
        <v>43</v>
      </c>
      <c r="FW57" s="1143" t="s">
        <v>319</v>
      </c>
      <c r="FX57" s="1148" t="s">
        <v>43</v>
      </c>
      <c r="FY57" s="1143" t="s">
        <v>319</v>
      </c>
      <c r="FZ57" s="1148" t="s">
        <v>43</v>
      </c>
      <c r="GA57" s="1143" t="s">
        <v>319</v>
      </c>
      <c r="GB57" s="1148" t="s">
        <v>43</v>
      </c>
      <c r="GC57" s="1143" t="s">
        <v>319</v>
      </c>
      <c r="GD57" s="1148" t="s">
        <v>43</v>
      </c>
      <c r="GE57" s="1146" t="s">
        <v>320</v>
      </c>
      <c r="GF57" s="681"/>
      <c r="GG57" s="652"/>
      <c r="GH57" s="652"/>
      <c r="GI57" s="652"/>
      <c r="GJ57" s="942"/>
      <c r="GK57" s="410"/>
      <c r="GL57" s="1113">
        <v>14</v>
      </c>
      <c r="GM57" s="1114">
        <v>5</v>
      </c>
      <c r="GN57" s="1091">
        <v>0.66</v>
      </c>
      <c r="GO57" s="1092">
        <v>4.0999999999999996</v>
      </c>
      <c r="GP57" s="1092">
        <v>13</v>
      </c>
      <c r="GQ57" s="1093">
        <v>17.100000000000001</v>
      </c>
      <c r="GR57" s="942"/>
      <c r="GS57" s="526"/>
      <c r="GT57" s="1253"/>
      <c r="GU57" s="575"/>
      <c r="GV57" s="575"/>
      <c r="GW57" s="497"/>
      <c r="GX57" s="1256"/>
      <c r="GY57" s="576"/>
      <c r="GZ57" s="497"/>
      <c r="HA57" s="575"/>
      <c r="HB57" s="497"/>
      <c r="HC57" s="1041"/>
    </row>
    <row r="58" spans="1:212" ht="20.100000000000001" customHeight="1">
      <c r="A58" s="1151" t="s">
        <v>659</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180</v>
      </c>
      <c r="Y58" s="1157"/>
      <c r="Z58" s="1156">
        <v>180</v>
      </c>
      <c r="AA58" s="1157"/>
      <c r="AB58" s="1156">
        <v>180</v>
      </c>
      <c r="AC58" s="1157"/>
      <c r="AD58" s="1156">
        <v>180</v>
      </c>
      <c r="AE58" s="1157"/>
      <c r="AF58" s="1156">
        <v>180</v>
      </c>
      <c r="AG58" s="1157"/>
      <c r="AH58" s="1156">
        <v>180</v>
      </c>
      <c r="AI58" s="1157"/>
      <c r="AJ58" s="1156">
        <v>180</v>
      </c>
      <c r="AK58" s="1157"/>
      <c r="AL58" s="1156">
        <v>180</v>
      </c>
      <c r="AM58" s="1157"/>
      <c r="AN58" s="1156">
        <v>180</v>
      </c>
      <c r="AO58" s="1157"/>
      <c r="AP58" s="1156">
        <v>180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180</v>
      </c>
      <c r="CB58" s="1157"/>
      <c r="CC58" s="1156">
        <v>180</v>
      </c>
      <c r="CD58" s="1157"/>
      <c r="CE58" s="1156">
        <v>180</v>
      </c>
      <c r="CF58" s="1157"/>
      <c r="CG58" s="1156">
        <v>180</v>
      </c>
      <c r="CH58" s="1157"/>
      <c r="CI58" s="1156">
        <v>180</v>
      </c>
      <c r="CJ58" s="1157"/>
      <c r="CK58" s="1156">
        <v>180</v>
      </c>
      <c r="CL58" s="1157"/>
      <c r="CM58" s="1156">
        <v>180</v>
      </c>
      <c r="CN58" s="1157"/>
      <c r="CO58" s="1156">
        <v>180</v>
      </c>
      <c r="CP58" s="1157"/>
      <c r="CQ58" s="1156">
        <v>180</v>
      </c>
      <c r="CR58" s="1157"/>
      <c r="CS58" s="1156">
        <v>180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180</v>
      </c>
      <c r="EE58" s="1157"/>
      <c r="EF58" s="1156">
        <v>180</v>
      </c>
      <c r="EG58" s="1157"/>
      <c r="EH58" s="1156">
        <v>180</v>
      </c>
      <c r="EI58" s="1157"/>
      <c r="EJ58" s="1156">
        <v>180</v>
      </c>
      <c r="EK58" s="1157"/>
      <c r="EL58" s="1156">
        <v>180</v>
      </c>
      <c r="EM58" s="1157"/>
      <c r="EN58" s="1156">
        <v>180</v>
      </c>
      <c r="EO58" s="1157"/>
      <c r="EP58" s="1156">
        <v>180</v>
      </c>
      <c r="EQ58" s="1157"/>
      <c r="ER58" s="1156">
        <v>180</v>
      </c>
      <c r="ES58" s="1157"/>
      <c r="ET58" s="1156">
        <v>180</v>
      </c>
      <c r="EU58" s="1157"/>
      <c r="EV58" s="1156">
        <v>180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180</v>
      </c>
      <c r="FS58" s="1160"/>
      <c r="FT58" s="1159"/>
      <c r="FU58" s="1161">
        <v>180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3.8</v>
      </c>
      <c r="GP58" s="1092">
        <v>13</v>
      </c>
      <c r="GQ58" s="1093">
        <v>16.8</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11.4</v>
      </c>
      <c r="X59" s="584">
        <v>684</v>
      </c>
      <c r="Y59" s="1173">
        <v>11.8</v>
      </c>
      <c r="Z59" s="584">
        <v>708</v>
      </c>
      <c r="AA59" s="1173">
        <v>11.9</v>
      </c>
      <c r="AB59" s="584">
        <v>714</v>
      </c>
      <c r="AC59" s="1173">
        <v>12.5</v>
      </c>
      <c r="AD59" s="584">
        <v>750</v>
      </c>
      <c r="AE59" s="1173">
        <v>12.3</v>
      </c>
      <c r="AF59" s="584">
        <v>738</v>
      </c>
      <c r="AG59" s="1173">
        <v>12</v>
      </c>
      <c r="AH59" s="584">
        <v>720</v>
      </c>
      <c r="AI59" s="1173">
        <v>12</v>
      </c>
      <c r="AJ59" s="584">
        <v>720</v>
      </c>
      <c r="AK59" s="1173">
        <v>11.9</v>
      </c>
      <c r="AL59" s="584">
        <v>714</v>
      </c>
      <c r="AM59" s="1173">
        <v>11.6</v>
      </c>
      <c r="AN59" s="584">
        <v>696</v>
      </c>
      <c r="AO59" s="1173">
        <v>11.3</v>
      </c>
      <c r="AP59" s="584">
        <v>678</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9.1999999999999993</v>
      </c>
      <c r="CA59" s="584">
        <v>552</v>
      </c>
      <c r="CB59" s="1173">
        <v>9.5</v>
      </c>
      <c r="CC59" s="584">
        <v>570</v>
      </c>
      <c r="CD59" s="1173">
        <v>9.9</v>
      </c>
      <c r="CE59" s="584">
        <v>594</v>
      </c>
      <c r="CF59" s="1173">
        <v>10.199999999999999</v>
      </c>
      <c r="CG59" s="584">
        <v>612</v>
      </c>
      <c r="CH59" s="1173">
        <v>10.4</v>
      </c>
      <c r="CI59" s="584">
        <v>624</v>
      </c>
      <c r="CJ59" s="1173">
        <v>10.1</v>
      </c>
      <c r="CK59" s="584">
        <v>606</v>
      </c>
      <c r="CL59" s="1173">
        <v>10</v>
      </c>
      <c r="CM59" s="584">
        <v>600</v>
      </c>
      <c r="CN59" s="1173">
        <v>9.9</v>
      </c>
      <c r="CO59" s="584">
        <v>594</v>
      </c>
      <c r="CP59" s="1173">
        <v>9.9</v>
      </c>
      <c r="CQ59" s="584">
        <v>594</v>
      </c>
      <c r="CR59" s="1173">
        <v>9.6</v>
      </c>
      <c r="CS59" s="584">
        <v>576</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5.3</v>
      </c>
      <c r="ED59" s="584">
        <v>318</v>
      </c>
      <c r="EE59" s="1173">
        <v>5.8</v>
      </c>
      <c r="EF59" s="584">
        <v>348</v>
      </c>
      <c r="EG59" s="1173">
        <v>5.8</v>
      </c>
      <c r="EH59" s="584">
        <v>348</v>
      </c>
      <c r="EI59" s="1173">
        <v>6</v>
      </c>
      <c r="EJ59" s="584">
        <v>360</v>
      </c>
      <c r="EK59" s="1173">
        <v>5.9</v>
      </c>
      <c r="EL59" s="584">
        <v>354</v>
      </c>
      <c r="EM59" s="1173">
        <v>5.6</v>
      </c>
      <c r="EN59" s="584">
        <v>336</v>
      </c>
      <c r="EO59" s="1173">
        <v>5.5</v>
      </c>
      <c r="EP59" s="584">
        <v>330</v>
      </c>
      <c r="EQ59" s="1173">
        <v>5.6</v>
      </c>
      <c r="ER59" s="584">
        <v>336</v>
      </c>
      <c r="ES59" s="1173">
        <v>5.4</v>
      </c>
      <c r="ET59" s="584">
        <v>324</v>
      </c>
      <c r="EU59" s="1173">
        <v>5.6</v>
      </c>
      <c r="EV59" s="584">
        <v>336</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3</v>
      </c>
      <c r="FR59" s="1175">
        <v>180</v>
      </c>
      <c r="FS59" s="1176">
        <v>9</v>
      </c>
      <c r="FT59" s="1174">
        <v>3</v>
      </c>
      <c r="FU59" s="1177">
        <v>180</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3.5</v>
      </c>
      <c r="GP59" s="1092">
        <v>13</v>
      </c>
      <c r="GQ59" s="1093">
        <v>16.5</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3.2</v>
      </c>
      <c r="GP60" s="1092">
        <v>13</v>
      </c>
      <c r="GQ60" s="1093">
        <v>16.2</v>
      </c>
      <c r="GR60" s="392"/>
      <c r="GS60" s="480"/>
      <c r="GT60" s="1255"/>
      <c r="GU60" s="497"/>
      <c r="GV60" s="576"/>
      <c r="GW60" s="497"/>
      <c r="GX60" s="576"/>
      <c r="GY60" s="497"/>
      <c r="GZ60" s="497"/>
      <c r="HA60" s="575"/>
      <c r="HB60" s="497"/>
      <c r="HC60" s="1188"/>
      <c r="HD60" s="1027"/>
    </row>
    <row r="61" spans="1:212" ht="20.100000000000001" customHeight="1">
      <c r="A61" s="1189" t="s">
        <v>664</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6000</v>
      </c>
      <c r="Y61" s="1194"/>
      <c r="Z61" s="1195">
        <v>5699</v>
      </c>
      <c r="AA61" s="1194"/>
      <c r="AB61" s="1195">
        <v>5970</v>
      </c>
      <c r="AC61" s="1194"/>
      <c r="AD61" s="1195">
        <v>6013</v>
      </c>
      <c r="AE61" s="1194"/>
      <c r="AF61" s="1195">
        <v>6633</v>
      </c>
      <c r="AG61" s="1194"/>
      <c r="AH61" s="1195">
        <v>6628</v>
      </c>
      <c r="AI61" s="1194"/>
      <c r="AJ61" s="1195">
        <v>6366</v>
      </c>
      <c r="AK61" s="1194"/>
      <c r="AL61" s="1195">
        <v>5978</v>
      </c>
      <c r="AM61" s="1194"/>
      <c r="AN61" s="1195">
        <v>5472</v>
      </c>
      <c r="AO61" s="1194"/>
      <c r="AP61" s="1195">
        <v>5008</v>
      </c>
      <c r="AQ61" s="1194"/>
      <c r="AR61" s="1195">
        <v>0</v>
      </c>
      <c r="AS61" s="1194"/>
      <c r="AT61" s="1195">
        <v>0</v>
      </c>
      <c r="AU61" s="1194"/>
      <c r="AV61" s="1195">
        <v>0</v>
      </c>
      <c r="AW61" s="1194"/>
      <c r="AX61" s="1195">
        <v>0</v>
      </c>
      <c r="AY61" s="1194"/>
      <c r="AZ61" s="1195">
        <v>0</v>
      </c>
      <c r="BA61" s="1194"/>
      <c r="BB61" s="1196">
        <v>0</v>
      </c>
      <c r="BC61" s="560"/>
      <c r="BD61" s="1189" t="s">
        <v>664</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5757</v>
      </c>
      <c r="CB61" s="1194"/>
      <c r="CC61" s="1195">
        <v>5380</v>
      </c>
      <c r="CD61" s="1194"/>
      <c r="CE61" s="1195">
        <v>5762</v>
      </c>
      <c r="CF61" s="1194"/>
      <c r="CG61" s="1195">
        <v>5948</v>
      </c>
      <c r="CH61" s="1194"/>
      <c r="CI61" s="1195">
        <v>6709</v>
      </c>
      <c r="CJ61" s="1194"/>
      <c r="CK61" s="1195">
        <v>6761</v>
      </c>
      <c r="CL61" s="1194"/>
      <c r="CM61" s="1195">
        <v>6564</v>
      </c>
      <c r="CN61" s="1194"/>
      <c r="CO61" s="1195">
        <v>6144</v>
      </c>
      <c r="CP61" s="1194"/>
      <c r="CQ61" s="1195">
        <v>5620</v>
      </c>
      <c r="CR61" s="1194"/>
      <c r="CS61" s="1195">
        <v>4977</v>
      </c>
      <c r="CT61" s="1194"/>
      <c r="CU61" s="1195">
        <v>0</v>
      </c>
      <c r="CV61" s="1194"/>
      <c r="CW61" s="1195">
        <v>0</v>
      </c>
      <c r="CX61" s="1194"/>
      <c r="CY61" s="1195">
        <v>0</v>
      </c>
      <c r="CZ61" s="1194"/>
      <c r="DA61" s="1195">
        <v>0</v>
      </c>
      <c r="DB61" s="1194"/>
      <c r="DC61" s="1195">
        <v>0</v>
      </c>
      <c r="DD61" s="1194"/>
      <c r="DE61" s="1196">
        <v>0</v>
      </c>
      <c r="DF61" s="559"/>
      <c r="DG61" s="1189" t="s">
        <v>664</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5060</v>
      </c>
      <c r="EE61" s="1194"/>
      <c r="EF61" s="1195">
        <v>5102</v>
      </c>
      <c r="EG61" s="1194"/>
      <c r="EH61" s="1195">
        <v>6004</v>
      </c>
      <c r="EI61" s="1194"/>
      <c r="EJ61" s="1195">
        <v>6285</v>
      </c>
      <c r="EK61" s="1194"/>
      <c r="EL61" s="1195">
        <v>6935</v>
      </c>
      <c r="EM61" s="1194"/>
      <c r="EN61" s="1195">
        <v>6884</v>
      </c>
      <c r="EO61" s="1194"/>
      <c r="EP61" s="1195">
        <v>6527</v>
      </c>
      <c r="EQ61" s="1194"/>
      <c r="ER61" s="1195">
        <v>5901</v>
      </c>
      <c r="ES61" s="1194"/>
      <c r="ET61" s="1195">
        <v>5051</v>
      </c>
      <c r="EU61" s="1194"/>
      <c r="EV61" s="1195">
        <v>4263</v>
      </c>
      <c r="EW61" s="1194"/>
      <c r="EX61" s="1195">
        <v>0</v>
      </c>
      <c r="EY61" s="1194"/>
      <c r="EZ61" s="1195">
        <v>0</v>
      </c>
      <c r="FA61" s="1194"/>
      <c r="FB61" s="1195">
        <v>0</v>
      </c>
      <c r="FC61" s="1194"/>
      <c r="FD61" s="1195">
        <v>0</v>
      </c>
      <c r="FE61" s="1194"/>
      <c r="FF61" s="1195">
        <v>0</v>
      </c>
      <c r="FG61" s="1194"/>
      <c r="FH61" s="1196">
        <v>0</v>
      </c>
      <c r="FI61" s="560"/>
      <c r="FJ61" s="1189" t="s">
        <v>664</v>
      </c>
      <c r="FK61" s="1190"/>
      <c r="FL61" s="1190"/>
      <c r="FM61" s="1190"/>
      <c r="FN61" s="1190"/>
      <c r="FO61" s="1190"/>
      <c r="FP61" s="1197"/>
      <c r="FQ61" s="1198"/>
      <c r="FR61" s="1199">
        <v>6389</v>
      </c>
      <c r="FS61" s="1200"/>
      <c r="FT61" s="1198"/>
      <c r="FU61" s="1201">
        <v>6469</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2.9</v>
      </c>
      <c r="GP61" s="1092">
        <v>13</v>
      </c>
      <c r="GQ61" s="1093">
        <v>15.9</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341</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342</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341</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341</v>
      </c>
      <c r="FK63" s="1119"/>
      <c r="FL63" s="1119"/>
      <c r="FM63" s="1119"/>
      <c r="FN63" s="1119"/>
      <c r="FO63" s="1120"/>
      <c r="FP63" s="1125" t="s">
        <v>343</v>
      </c>
      <c r="FQ63" s="1126"/>
      <c r="FR63" s="1127"/>
      <c r="FS63" s="1128" t="s">
        <v>286</v>
      </c>
      <c r="FT63" s="1129"/>
      <c r="FU63" s="1130"/>
      <c r="FV63" s="1131" t="s">
        <v>335</v>
      </c>
      <c r="FW63" s="1132"/>
      <c r="FX63" s="1133" t="s">
        <v>336</v>
      </c>
      <c r="FY63" s="1134"/>
      <c r="FZ63" s="1135" t="s">
        <v>337</v>
      </c>
      <c r="GA63" s="1136"/>
      <c r="GB63" s="1137" t="s">
        <v>338</v>
      </c>
      <c r="GC63" s="1122"/>
      <c r="GD63" s="1137" t="s">
        <v>339</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344</v>
      </c>
      <c r="I64" s="1144"/>
      <c r="J64" s="1143" t="s">
        <v>344</v>
      </c>
      <c r="K64" s="1144"/>
      <c r="L64" s="1143" t="s">
        <v>344</v>
      </c>
      <c r="M64" s="1144"/>
      <c r="N64" s="1143" t="s">
        <v>344</v>
      </c>
      <c r="O64" s="1144"/>
      <c r="P64" s="1143" t="s">
        <v>344</v>
      </c>
      <c r="Q64" s="1144"/>
      <c r="R64" s="1143" t="s">
        <v>344</v>
      </c>
      <c r="S64" s="1144"/>
      <c r="T64" s="1143" t="s">
        <v>344</v>
      </c>
      <c r="U64" s="1144"/>
      <c r="V64" s="1143" t="s">
        <v>344</v>
      </c>
      <c r="W64" s="1144"/>
      <c r="X64" s="1143" t="s">
        <v>344</v>
      </c>
      <c r="Y64" s="1144"/>
      <c r="Z64" s="1143" t="s">
        <v>344</v>
      </c>
      <c r="AA64" s="1144"/>
      <c r="AB64" s="1143" t="s">
        <v>344</v>
      </c>
      <c r="AC64" s="1144"/>
      <c r="AD64" s="1143" t="s">
        <v>344</v>
      </c>
      <c r="AE64" s="1144"/>
      <c r="AF64" s="1143" t="s">
        <v>344</v>
      </c>
      <c r="AG64" s="1144"/>
      <c r="AH64" s="1143" t="s">
        <v>344</v>
      </c>
      <c r="AI64" s="1144"/>
      <c r="AJ64" s="1143" t="s">
        <v>344</v>
      </c>
      <c r="AK64" s="1144"/>
      <c r="AL64" s="1143" t="s">
        <v>344</v>
      </c>
      <c r="AM64" s="1144"/>
      <c r="AN64" s="1143" t="s">
        <v>344</v>
      </c>
      <c r="AO64" s="1144"/>
      <c r="AP64" s="1143" t="s">
        <v>344</v>
      </c>
      <c r="AQ64" s="1144"/>
      <c r="AR64" s="1143" t="s">
        <v>344</v>
      </c>
      <c r="AS64" s="1144"/>
      <c r="AT64" s="1143" t="s">
        <v>344</v>
      </c>
      <c r="AU64" s="1144"/>
      <c r="AV64" s="1143" t="s">
        <v>344</v>
      </c>
      <c r="AW64" s="1144"/>
      <c r="AX64" s="1143" t="s">
        <v>344</v>
      </c>
      <c r="AY64" s="1144"/>
      <c r="AZ64" s="1143" t="s">
        <v>344</v>
      </c>
      <c r="BA64" s="1144"/>
      <c r="BB64" s="1146" t="s">
        <v>344</v>
      </c>
      <c r="BC64" s="1041"/>
      <c r="BD64" s="1210"/>
      <c r="BE64" s="1211"/>
      <c r="BF64" s="1211"/>
      <c r="BG64" s="1211"/>
      <c r="BH64" s="1140"/>
      <c r="BI64" s="1141"/>
      <c r="BJ64" s="1142"/>
      <c r="BK64" s="1143" t="s">
        <v>344</v>
      </c>
      <c r="BL64" s="1144"/>
      <c r="BM64" s="1143" t="s">
        <v>344</v>
      </c>
      <c r="BN64" s="1144"/>
      <c r="BO64" s="1143" t="s">
        <v>344</v>
      </c>
      <c r="BP64" s="1144"/>
      <c r="BQ64" s="1143" t="s">
        <v>344</v>
      </c>
      <c r="BR64" s="1144"/>
      <c r="BS64" s="1143" t="s">
        <v>344</v>
      </c>
      <c r="BT64" s="1144"/>
      <c r="BU64" s="1143" t="s">
        <v>344</v>
      </c>
      <c r="BV64" s="1144"/>
      <c r="BW64" s="1143" t="s">
        <v>344</v>
      </c>
      <c r="BX64" s="1144"/>
      <c r="BY64" s="1143" t="s">
        <v>344</v>
      </c>
      <c r="BZ64" s="1144"/>
      <c r="CA64" s="1143" t="s">
        <v>344</v>
      </c>
      <c r="CB64" s="1144"/>
      <c r="CC64" s="1143" t="s">
        <v>344</v>
      </c>
      <c r="CD64" s="1144"/>
      <c r="CE64" s="1143" t="s">
        <v>344</v>
      </c>
      <c r="CF64" s="1144"/>
      <c r="CG64" s="1143" t="s">
        <v>344</v>
      </c>
      <c r="CH64" s="1144"/>
      <c r="CI64" s="1143" t="s">
        <v>344</v>
      </c>
      <c r="CJ64" s="1144"/>
      <c r="CK64" s="1143" t="s">
        <v>344</v>
      </c>
      <c r="CL64" s="1144"/>
      <c r="CM64" s="1143" t="s">
        <v>344</v>
      </c>
      <c r="CN64" s="1144"/>
      <c r="CO64" s="1143" t="s">
        <v>344</v>
      </c>
      <c r="CP64" s="1144"/>
      <c r="CQ64" s="1143" t="s">
        <v>344</v>
      </c>
      <c r="CR64" s="1144"/>
      <c r="CS64" s="1143" t="s">
        <v>344</v>
      </c>
      <c r="CT64" s="1144"/>
      <c r="CU64" s="1143" t="s">
        <v>344</v>
      </c>
      <c r="CV64" s="1144"/>
      <c r="CW64" s="1143" t="s">
        <v>344</v>
      </c>
      <c r="CX64" s="1144"/>
      <c r="CY64" s="1143" t="s">
        <v>344</v>
      </c>
      <c r="CZ64" s="1144"/>
      <c r="DA64" s="1143" t="s">
        <v>344</v>
      </c>
      <c r="DB64" s="1144"/>
      <c r="DC64" s="1143" t="s">
        <v>344</v>
      </c>
      <c r="DD64" s="1144"/>
      <c r="DE64" s="1146" t="s">
        <v>344</v>
      </c>
      <c r="DF64" s="1041"/>
      <c r="DG64" s="1209"/>
      <c r="DH64" s="1140"/>
      <c r="DI64" s="1140"/>
      <c r="DJ64" s="1140"/>
      <c r="DK64" s="1140"/>
      <c r="DL64" s="1141"/>
      <c r="DM64" s="1142"/>
      <c r="DN64" s="1143" t="s">
        <v>344</v>
      </c>
      <c r="DO64" s="1144"/>
      <c r="DP64" s="1143" t="s">
        <v>344</v>
      </c>
      <c r="DQ64" s="1144"/>
      <c r="DR64" s="1143" t="s">
        <v>344</v>
      </c>
      <c r="DS64" s="1144"/>
      <c r="DT64" s="1143" t="s">
        <v>344</v>
      </c>
      <c r="DU64" s="1144"/>
      <c r="DV64" s="1143" t="s">
        <v>344</v>
      </c>
      <c r="DW64" s="1144"/>
      <c r="DX64" s="1143" t="s">
        <v>344</v>
      </c>
      <c r="DY64" s="1144"/>
      <c r="DZ64" s="1143" t="s">
        <v>344</v>
      </c>
      <c r="EA64" s="1144"/>
      <c r="EB64" s="1143" t="s">
        <v>344</v>
      </c>
      <c r="EC64" s="1144"/>
      <c r="ED64" s="1143" t="s">
        <v>344</v>
      </c>
      <c r="EE64" s="1144"/>
      <c r="EF64" s="1143" t="s">
        <v>344</v>
      </c>
      <c r="EG64" s="1144"/>
      <c r="EH64" s="1143" t="s">
        <v>344</v>
      </c>
      <c r="EI64" s="1144"/>
      <c r="EJ64" s="1143" t="s">
        <v>344</v>
      </c>
      <c r="EK64" s="1144"/>
      <c r="EL64" s="1143" t="s">
        <v>344</v>
      </c>
      <c r="EM64" s="1144"/>
      <c r="EN64" s="1143" t="s">
        <v>344</v>
      </c>
      <c r="EO64" s="1144"/>
      <c r="EP64" s="1143" t="s">
        <v>344</v>
      </c>
      <c r="EQ64" s="1144"/>
      <c r="ER64" s="1143" t="s">
        <v>344</v>
      </c>
      <c r="ES64" s="1144"/>
      <c r="ET64" s="1143" t="s">
        <v>344</v>
      </c>
      <c r="EU64" s="1144"/>
      <c r="EV64" s="1143" t="s">
        <v>344</v>
      </c>
      <c r="EW64" s="1144"/>
      <c r="EX64" s="1143" t="s">
        <v>344</v>
      </c>
      <c r="EY64" s="1144"/>
      <c r="EZ64" s="1143" t="s">
        <v>344</v>
      </c>
      <c r="FA64" s="1144"/>
      <c r="FB64" s="1143" t="s">
        <v>344</v>
      </c>
      <c r="FC64" s="1144"/>
      <c r="FD64" s="1143" t="s">
        <v>344</v>
      </c>
      <c r="FE64" s="1144"/>
      <c r="FF64" s="1143" t="s">
        <v>344</v>
      </c>
      <c r="FG64" s="1144"/>
      <c r="FH64" s="1146" t="s">
        <v>344</v>
      </c>
      <c r="FI64" s="1041"/>
      <c r="FJ64" s="1209"/>
      <c r="FK64" s="1140"/>
      <c r="FL64" s="1140"/>
      <c r="FM64" s="1140"/>
      <c r="FN64" s="1140"/>
      <c r="FO64" s="1141"/>
      <c r="FP64" s="1147" t="s">
        <v>43</v>
      </c>
      <c r="FQ64" s="1145" t="s">
        <v>345</v>
      </c>
      <c r="FR64" s="1143" t="s">
        <v>344</v>
      </c>
      <c r="FS64" s="1148" t="s">
        <v>43</v>
      </c>
      <c r="FT64" s="1145" t="s">
        <v>345</v>
      </c>
      <c r="FU64" s="1149" t="s">
        <v>344</v>
      </c>
      <c r="FV64" s="1150" t="s">
        <v>43</v>
      </c>
      <c r="FW64" s="1143" t="s">
        <v>344</v>
      </c>
      <c r="FX64" s="1148" t="s">
        <v>43</v>
      </c>
      <c r="FY64" s="1143" t="s">
        <v>344</v>
      </c>
      <c r="FZ64" s="1148" t="s">
        <v>43</v>
      </c>
      <c r="GA64" s="1143" t="s">
        <v>344</v>
      </c>
      <c r="GB64" s="1148" t="s">
        <v>43</v>
      </c>
      <c r="GC64" s="1143" t="s">
        <v>344</v>
      </c>
      <c r="GD64" s="1148" t="s">
        <v>43</v>
      </c>
      <c r="GE64" s="1146" t="s">
        <v>344</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665</v>
      </c>
      <c r="FK66" s="1190"/>
      <c r="FL66" s="1229"/>
      <c r="FM66" s="1230" t="s">
        <v>666</v>
      </c>
      <c r="FN66" s="1231"/>
      <c r="FO66" s="1191"/>
      <c r="FP66" s="1197">
        <v>9</v>
      </c>
      <c r="FQ66" s="1232">
        <v>5.19</v>
      </c>
      <c r="FR66" s="1233">
        <v>1.1000000000000001</v>
      </c>
      <c r="FS66" s="1200">
        <v>9</v>
      </c>
      <c r="FT66" s="1232">
        <v>3.49</v>
      </c>
      <c r="FU66" s="1234">
        <v>0.8</v>
      </c>
      <c r="FV66" s="1235"/>
      <c r="FW66" s="1236"/>
      <c r="FX66" s="1236"/>
      <c r="FY66" s="1236"/>
      <c r="FZ66" s="1236"/>
      <c r="GA66" s="1236"/>
      <c r="GB66" s="1236"/>
      <c r="GC66" s="1237"/>
      <c r="GD66" s="1200"/>
      <c r="GE66" s="1238">
        <v>1.1000000000000001</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346</v>
      </c>
      <c r="B68" s="1241"/>
      <c r="C68" s="1241"/>
      <c r="D68" s="1241"/>
      <c r="E68" s="814"/>
      <c r="F68" s="814"/>
      <c r="G68" s="1242" t="s">
        <v>351</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346</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346</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346</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271</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273</v>
      </c>
      <c r="AY1" s="376" t="s">
        <v>532</v>
      </c>
      <c r="AZ1" s="376"/>
      <c r="BA1" s="376"/>
      <c r="BB1" s="379"/>
      <c r="BC1" s="380"/>
      <c r="BD1" s="375" t="s">
        <v>271</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273</v>
      </c>
      <c r="DB1" s="376" t="str">
        <f>$AY1</f>
        <v>9時-18時</v>
      </c>
      <c r="DC1" s="378"/>
      <c r="DD1" s="376"/>
      <c r="DE1" s="379"/>
      <c r="DF1" s="380"/>
      <c r="DG1" s="375" t="s">
        <v>271</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273</v>
      </c>
      <c r="FE1" s="376" t="str">
        <f>$AY1</f>
        <v>9時-18時</v>
      </c>
      <c r="FF1" s="378"/>
      <c r="FG1" s="376"/>
      <c r="FH1" s="379"/>
      <c r="FI1" s="381"/>
      <c r="FJ1" s="375" t="s">
        <v>271</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432</v>
      </c>
      <c r="GZ1" s="376" t="s">
        <v>352</v>
      </c>
      <c r="HA1" s="376"/>
      <c r="HB1" s="379"/>
      <c r="HC1" s="1448" t="s">
        <v>433</v>
      </c>
      <c r="HD1" s="382"/>
      <c r="HE1" s="383"/>
      <c r="HF1" s="382"/>
      <c r="HG1" s="1446"/>
      <c r="HH1" s="384" t="s">
        <v>274</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536</v>
      </c>
      <c r="B3" s="395">
        <v>204</v>
      </c>
      <c r="C3" s="396" t="s">
        <v>537</v>
      </c>
      <c r="D3" s="397" t="s">
        <v>538</v>
      </c>
      <c r="E3" s="397"/>
      <c r="F3" s="397"/>
      <c r="G3" s="397"/>
      <c r="H3" s="397"/>
      <c r="I3" s="397"/>
      <c r="J3" s="398"/>
      <c r="K3" s="399" t="s">
        <v>363</v>
      </c>
      <c r="L3" s="400"/>
      <c r="M3" s="399" t="s">
        <v>364</v>
      </c>
      <c r="N3" s="400"/>
      <c r="O3" s="401" t="s">
        <v>671</v>
      </c>
      <c r="P3" s="402"/>
      <c r="Q3" s="402"/>
      <c r="R3" s="402"/>
      <c r="S3" s="402"/>
      <c r="T3" s="402"/>
      <c r="U3" s="402"/>
      <c r="V3" s="403"/>
      <c r="W3" s="404" t="s">
        <v>365</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366</v>
      </c>
      <c r="BE3" s="395">
        <v>204</v>
      </c>
      <c r="BF3" s="396" t="s">
        <v>360</v>
      </c>
      <c r="BG3" s="408" t="s">
        <v>531</v>
      </c>
      <c r="BH3" s="408"/>
      <c r="BI3" s="408"/>
      <c r="BJ3" s="408"/>
      <c r="BK3" s="408"/>
      <c r="BL3" s="408"/>
      <c r="BM3" s="409"/>
      <c r="BN3" s="399" t="s">
        <v>363</v>
      </c>
      <c r="BO3" s="400"/>
      <c r="BP3" s="399" t="s">
        <v>364</v>
      </c>
      <c r="BQ3" s="400"/>
      <c r="BR3" s="401" t="s">
        <v>675</v>
      </c>
      <c r="BS3" s="402"/>
      <c r="BT3" s="402"/>
      <c r="BU3" s="402"/>
      <c r="BV3" s="402"/>
      <c r="BW3" s="402"/>
      <c r="BX3" s="402"/>
      <c r="BY3" s="403"/>
      <c r="BZ3" s="404" t="s">
        <v>365</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366</v>
      </c>
      <c r="DH3" s="395">
        <v>204</v>
      </c>
      <c r="DI3" s="396" t="s">
        <v>360</v>
      </c>
      <c r="DJ3" s="408" t="s">
        <v>531</v>
      </c>
      <c r="DK3" s="408"/>
      <c r="DL3" s="408"/>
      <c r="DM3" s="408"/>
      <c r="DN3" s="408"/>
      <c r="DO3" s="408"/>
      <c r="DP3" s="409"/>
      <c r="DQ3" s="399" t="s">
        <v>363</v>
      </c>
      <c r="DR3" s="400"/>
      <c r="DS3" s="399" t="s">
        <v>364</v>
      </c>
      <c r="DT3" s="400"/>
      <c r="DU3" s="401" t="s">
        <v>650</v>
      </c>
      <c r="DV3" s="402"/>
      <c r="DW3" s="402"/>
      <c r="DX3" s="402"/>
      <c r="DY3" s="402"/>
      <c r="DZ3" s="402"/>
      <c r="EA3" s="402"/>
      <c r="EB3" s="403"/>
      <c r="EC3" s="404" t="s">
        <v>365</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366</v>
      </c>
      <c r="FK3" s="395">
        <v>204</v>
      </c>
      <c r="FL3" s="396" t="s">
        <v>360</v>
      </c>
      <c r="FM3" s="408" t="s">
        <v>531</v>
      </c>
      <c r="FN3" s="408"/>
      <c r="FO3" s="408"/>
      <c r="FP3" s="408"/>
      <c r="FQ3" s="408"/>
      <c r="FR3" s="408"/>
      <c r="FS3" s="409"/>
      <c r="FT3" s="399" t="s">
        <v>363</v>
      </c>
      <c r="FU3" s="400"/>
      <c r="FV3" s="399" t="s">
        <v>364</v>
      </c>
      <c r="FW3" s="400"/>
      <c r="FX3" s="401" t="s">
        <v>681</v>
      </c>
      <c r="FY3" s="402"/>
      <c r="FZ3" s="402"/>
      <c r="GA3" s="402"/>
      <c r="GB3" s="402"/>
      <c r="GC3" s="402"/>
      <c r="GD3" s="402"/>
      <c r="GE3" s="403"/>
      <c r="GF3" s="404" t="s">
        <v>365</v>
      </c>
      <c r="GG3" s="405"/>
      <c r="GH3" s="406"/>
      <c r="GI3" s="410"/>
      <c r="GJ3" s="411" t="s">
        <v>434</v>
      </c>
      <c r="GK3" s="412"/>
      <c r="GL3" s="412"/>
      <c r="GM3" s="412"/>
      <c r="GN3" s="412"/>
      <c r="GO3" s="412"/>
      <c r="GP3" s="412"/>
      <c r="GQ3" s="412"/>
      <c r="GR3" s="413"/>
      <c r="GS3" s="414"/>
      <c r="GT3" s="411" t="s">
        <v>435</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367</v>
      </c>
      <c r="P4" s="426"/>
      <c r="Q4" s="427" t="s">
        <v>368</v>
      </c>
      <c r="R4" s="426"/>
      <c r="S4" s="428" t="s">
        <v>369</v>
      </c>
      <c r="T4" s="429"/>
      <c r="U4" s="430" t="s">
        <v>370</v>
      </c>
      <c r="V4" s="431"/>
      <c r="W4" s="432" t="s">
        <v>371</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367</v>
      </c>
      <c r="BS4" s="426"/>
      <c r="BT4" s="427" t="s">
        <v>368</v>
      </c>
      <c r="BU4" s="426"/>
      <c r="BV4" s="428" t="s">
        <v>369</v>
      </c>
      <c r="BW4" s="429"/>
      <c r="BX4" s="430" t="s">
        <v>370</v>
      </c>
      <c r="BY4" s="431"/>
      <c r="BZ4" s="432" t="s">
        <v>371</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367</v>
      </c>
      <c r="DV4" s="426"/>
      <c r="DW4" s="427" t="s">
        <v>368</v>
      </c>
      <c r="DX4" s="426"/>
      <c r="DY4" s="428" t="s">
        <v>369</v>
      </c>
      <c r="DZ4" s="429"/>
      <c r="EA4" s="430" t="s">
        <v>370</v>
      </c>
      <c r="EB4" s="431"/>
      <c r="EC4" s="432" t="s">
        <v>371</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367</v>
      </c>
      <c r="FY4" s="426"/>
      <c r="FZ4" s="427" t="s">
        <v>368</v>
      </c>
      <c r="GA4" s="426"/>
      <c r="GB4" s="428" t="s">
        <v>369</v>
      </c>
      <c r="GC4" s="429"/>
      <c r="GD4" s="430" t="s">
        <v>370</v>
      </c>
      <c r="GE4" s="431"/>
      <c r="GF4" s="432" t="s">
        <v>348</v>
      </c>
      <c r="GG4" s="433"/>
      <c r="GH4" s="434"/>
      <c r="GI4" s="410"/>
      <c r="GJ4" s="437"/>
      <c r="GK4" s="437"/>
      <c r="GL4" s="437"/>
      <c r="GM4" s="437"/>
      <c r="GN4" s="437"/>
      <c r="GO4" s="437"/>
      <c r="GP4" s="437"/>
      <c r="GQ4" s="437"/>
      <c r="GR4" s="437"/>
      <c r="GS4" s="414"/>
      <c r="GT4" s="437"/>
      <c r="GU4" s="437"/>
      <c r="GV4" s="437"/>
      <c r="GW4" s="437"/>
      <c r="GX4" s="437"/>
      <c r="GY4" s="437"/>
      <c r="GZ4" s="437"/>
      <c r="HA4" s="437"/>
      <c r="HB4" s="437"/>
      <c r="HC4" s="1449"/>
      <c r="HD4" s="438"/>
      <c r="HE4" s="438"/>
      <c r="HF4" s="501"/>
      <c r="HG4" s="387"/>
      <c r="MO4" s="393" t="s">
        <v>348</v>
      </c>
    </row>
    <row r="5" spans="1:353" ht="24.95" customHeight="1" thickBot="1">
      <c r="A5" s="439" t="s">
        <v>373</v>
      </c>
      <c r="B5" s="440">
        <v>2</v>
      </c>
      <c r="C5" s="441" t="s">
        <v>374</v>
      </c>
      <c r="D5" s="442">
        <v>13.2</v>
      </c>
      <c r="E5" s="443" t="s">
        <v>375</v>
      </c>
      <c r="F5" s="444">
        <v>2.8</v>
      </c>
      <c r="G5" s="445" t="s">
        <v>376</v>
      </c>
      <c r="H5" s="446"/>
      <c r="I5" s="447">
        <v>37</v>
      </c>
      <c r="J5" s="448"/>
      <c r="K5" s="449">
        <v>120</v>
      </c>
      <c r="L5" s="450"/>
      <c r="M5" s="449">
        <v>20</v>
      </c>
      <c r="N5" s="450"/>
      <c r="O5" s="1442" t="s">
        <v>667</v>
      </c>
      <c r="P5" s="451"/>
      <c r="Q5" s="1443" t="s">
        <v>668</v>
      </c>
      <c r="R5" s="452"/>
      <c r="S5" s="1444" t="s">
        <v>669</v>
      </c>
      <c r="T5" s="453"/>
      <c r="U5" s="1445" t="s">
        <v>670</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373</v>
      </c>
      <c r="BE5" s="440">
        <v>2</v>
      </c>
      <c r="BF5" s="441" t="s">
        <v>276</v>
      </c>
      <c r="BG5" s="442">
        <v>13.2</v>
      </c>
      <c r="BH5" s="443" t="s">
        <v>375</v>
      </c>
      <c r="BI5" s="444">
        <v>2.8</v>
      </c>
      <c r="BJ5" s="445" t="s">
        <v>376</v>
      </c>
      <c r="BK5" s="446"/>
      <c r="BL5" s="447">
        <v>37</v>
      </c>
      <c r="BM5" s="448"/>
      <c r="BN5" s="449">
        <v>120</v>
      </c>
      <c r="BO5" s="450"/>
      <c r="BP5" s="449">
        <v>20</v>
      </c>
      <c r="BQ5" s="450"/>
      <c r="BR5" s="1442" t="s">
        <v>651</v>
      </c>
      <c r="BS5" s="451"/>
      <c r="BT5" s="1443" t="s">
        <v>672</v>
      </c>
      <c r="BU5" s="452"/>
      <c r="BV5" s="1444" t="s">
        <v>673</v>
      </c>
      <c r="BW5" s="453"/>
      <c r="BX5" s="1445" t="s">
        <v>674</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373</v>
      </c>
      <c r="DH5" s="440">
        <v>2</v>
      </c>
      <c r="DI5" s="441" t="s">
        <v>276</v>
      </c>
      <c r="DJ5" s="442">
        <v>13.2</v>
      </c>
      <c r="DK5" s="443" t="s">
        <v>375</v>
      </c>
      <c r="DL5" s="444">
        <v>2.8</v>
      </c>
      <c r="DM5" s="445" t="s">
        <v>376</v>
      </c>
      <c r="DN5" s="446"/>
      <c r="DO5" s="447">
        <v>37</v>
      </c>
      <c r="DP5" s="448"/>
      <c r="DQ5" s="449">
        <v>120</v>
      </c>
      <c r="DR5" s="450"/>
      <c r="DS5" s="449">
        <v>20</v>
      </c>
      <c r="DT5" s="450"/>
      <c r="DU5" s="1442" t="s">
        <v>651</v>
      </c>
      <c r="DV5" s="451"/>
      <c r="DW5" s="1443" t="s">
        <v>672</v>
      </c>
      <c r="DX5" s="452"/>
      <c r="DY5" s="1444" t="s">
        <v>676</v>
      </c>
      <c r="DZ5" s="453"/>
      <c r="EA5" s="1445" t="s">
        <v>674</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373</v>
      </c>
      <c r="FK5" s="440">
        <v>2</v>
      </c>
      <c r="FL5" s="441" t="s">
        <v>276</v>
      </c>
      <c r="FM5" s="442">
        <v>13.2</v>
      </c>
      <c r="FN5" s="443" t="s">
        <v>375</v>
      </c>
      <c r="FO5" s="444">
        <v>2.8</v>
      </c>
      <c r="FP5" s="445" t="s">
        <v>376</v>
      </c>
      <c r="FQ5" s="446"/>
      <c r="FR5" s="447">
        <v>37</v>
      </c>
      <c r="FS5" s="448"/>
      <c r="FT5" s="449">
        <v>120</v>
      </c>
      <c r="FU5" s="450"/>
      <c r="FV5" s="449">
        <v>20</v>
      </c>
      <c r="FW5" s="450"/>
      <c r="FX5" s="1442" t="s">
        <v>677</v>
      </c>
      <c r="FY5" s="451"/>
      <c r="FZ5" s="1443" t="s">
        <v>678</v>
      </c>
      <c r="GA5" s="452"/>
      <c r="GB5" s="1444" t="s">
        <v>679</v>
      </c>
      <c r="GC5" s="453"/>
      <c r="GD5" s="1445" t="s">
        <v>680</v>
      </c>
      <c r="GE5" s="454"/>
      <c r="GF5" s="455"/>
      <c r="GG5" s="456"/>
      <c r="GH5" s="457"/>
      <c r="GI5" s="459"/>
      <c r="GJ5" s="410"/>
      <c r="GK5" s="460" t="s">
        <v>436</v>
      </c>
      <c r="GL5" s="460"/>
      <c r="GM5" s="460"/>
      <c r="GN5" s="410" t="s">
        <v>437</v>
      </c>
      <c r="GO5" s="461"/>
      <c r="GP5" s="461"/>
      <c r="GQ5" s="461"/>
      <c r="GR5" s="410"/>
      <c r="GS5" s="410"/>
      <c r="GT5" s="414"/>
      <c r="GU5" s="460" t="s">
        <v>438</v>
      </c>
      <c r="GV5" s="460"/>
      <c r="GW5" s="460"/>
      <c r="GX5" s="410" t="s">
        <v>437</v>
      </c>
      <c r="GY5" s="461"/>
      <c r="GZ5" s="461"/>
      <c r="HA5" s="461"/>
      <c r="HB5" s="410"/>
      <c r="HC5" s="462"/>
      <c r="HD5" s="438"/>
      <c r="HE5" s="438"/>
      <c r="HF5" s="501"/>
      <c r="HG5" s="387"/>
    </row>
    <row r="6" spans="1:353" ht="20.100000000000001" customHeight="1" thickBot="1">
      <c r="A6" s="463" t="s">
        <v>377</v>
      </c>
      <c r="B6" s="464"/>
      <c r="C6" s="465" t="s">
        <v>378</v>
      </c>
      <c r="D6" s="465"/>
      <c r="E6" s="465"/>
      <c r="F6" s="466">
        <v>0</v>
      </c>
      <c r="G6" s="466"/>
      <c r="H6" s="465" t="s">
        <v>379</v>
      </c>
      <c r="I6" s="465"/>
      <c r="J6" s="465"/>
      <c r="K6" s="465"/>
      <c r="L6" s="465"/>
      <c r="M6" s="467">
        <v>0</v>
      </c>
      <c r="N6" s="467"/>
      <c r="O6" s="468"/>
      <c r="P6" s="469"/>
      <c r="Q6" s="469" t="s">
        <v>380</v>
      </c>
      <c r="R6" s="470">
        <v>0</v>
      </c>
      <c r="S6" s="470"/>
      <c r="T6" s="471"/>
      <c r="U6" s="472" t="s">
        <v>381</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383</v>
      </c>
      <c r="BC6" s="476"/>
      <c r="BD6" s="463" t="s">
        <v>377</v>
      </c>
      <c r="BE6" s="464"/>
      <c r="BF6" s="465" t="s">
        <v>378</v>
      </c>
      <c r="BG6" s="465"/>
      <c r="BH6" s="465"/>
      <c r="BI6" s="466">
        <v>0</v>
      </c>
      <c r="BJ6" s="466"/>
      <c r="BK6" s="465" t="s">
        <v>379</v>
      </c>
      <c r="BL6" s="465"/>
      <c r="BM6" s="465"/>
      <c r="BN6" s="465"/>
      <c r="BO6" s="465"/>
      <c r="BP6" s="467">
        <v>0</v>
      </c>
      <c r="BQ6" s="467"/>
      <c r="BR6" s="468"/>
      <c r="BS6" s="469"/>
      <c r="BT6" s="469" t="s">
        <v>277</v>
      </c>
      <c r="BU6" s="470">
        <v>0</v>
      </c>
      <c r="BV6" s="470"/>
      <c r="BW6" s="471"/>
      <c r="BX6" s="472" t="s">
        <v>278</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385</v>
      </c>
      <c r="DF6" s="478"/>
      <c r="DG6" s="463" t="s">
        <v>377</v>
      </c>
      <c r="DH6" s="464"/>
      <c r="DI6" s="465" t="s">
        <v>378</v>
      </c>
      <c r="DJ6" s="465"/>
      <c r="DK6" s="465"/>
      <c r="DL6" s="466">
        <v>0</v>
      </c>
      <c r="DM6" s="466"/>
      <c r="DN6" s="465" t="s">
        <v>379</v>
      </c>
      <c r="DO6" s="465"/>
      <c r="DP6" s="465"/>
      <c r="DQ6" s="465"/>
      <c r="DR6" s="465"/>
      <c r="DS6" s="467">
        <v>0</v>
      </c>
      <c r="DT6" s="467"/>
      <c r="DU6" s="468"/>
      <c r="DV6" s="469"/>
      <c r="DW6" s="469" t="s">
        <v>277</v>
      </c>
      <c r="DX6" s="470">
        <v>0</v>
      </c>
      <c r="DY6" s="470"/>
      <c r="DZ6" s="471"/>
      <c r="EA6" s="472" t="s">
        <v>278</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387</v>
      </c>
      <c r="FI6" s="478"/>
      <c r="FJ6" s="463" t="s">
        <v>388</v>
      </c>
      <c r="FK6" s="464"/>
      <c r="FL6" s="465" t="s">
        <v>378</v>
      </c>
      <c r="FM6" s="465"/>
      <c r="FN6" s="465"/>
      <c r="FO6" s="466">
        <v>0</v>
      </c>
      <c r="FP6" s="466"/>
      <c r="FQ6" s="465" t="s">
        <v>379</v>
      </c>
      <c r="FR6" s="465"/>
      <c r="FS6" s="465"/>
      <c r="FT6" s="465"/>
      <c r="FU6" s="465"/>
      <c r="FV6" s="467">
        <v>0</v>
      </c>
      <c r="FW6" s="467"/>
      <c r="FX6" s="468"/>
      <c r="FY6" s="469"/>
      <c r="FZ6" s="469" t="s">
        <v>389</v>
      </c>
      <c r="GA6" s="470">
        <v>0</v>
      </c>
      <c r="GB6" s="470"/>
      <c r="GC6" s="471"/>
      <c r="GD6" s="472" t="s">
        <v>390</v>
      </c>
      <c r="GE6" s="473">
        <v>0</v>
      </c>
      <c r="GF6" s="473"/>
      <c r="GG6" s="474"/>
      <c r="GH6" s="469"/>
      <c r="GI6" s="469"/>
      <c r="GJ6" s="480"/>
      <c r="GK6" s="481" t="s">
        <v>439</v>
      </c>
      <c r="GL6" s="481"/>
      <c r="GM6" s="481"/>
      <c r="GN6" s="482">
        <v>2</v>
      </c>
      <c r="GO6" s="483"/>
      <c r="GP6" s="483"/>
      <c r="GQ6" s="483"/>
      <c r="GR6" s="480"/>
      <c r="GS6" s="480"/>
      <c r="GT6" s="414"/>
      <c r="GU6" s="481" t="s">
        <v>440</v>
      </c>
      <c r="GV6" s="481"/>
      <c r="GW6" s="481"/>
      <c r="GX6" s="482">
        <v>2</v>
      </c>
      <c r="GY6" s="414"/>
      <c r="GZ6" s="414"/>
      <c r="HA6" s="483"/>
      <c r="HB6" s="483"/>
      <c r="HC6" s="484"/>
      <c r="HD6" s="438"/>
      <c r="HE6" s="438"/>
      <c r="HF6" s="501"/>
      <c r="HG6" s="387"/>
    </row>
    <row r="7" spans="1:353" ht="20.100000000000001" customHeight="1">
      <c r="A7" s="485" t="s">
        <v>279</v>
      </c>
      <c r="B7" s="486"/>
      <c r="C7" s="486"/>
      <c r="D7" s="486"/>
      <c r="E7" s="486"/>
      <c r="F7" s="487"/>
      <c r="G7" s="488" t="s">
        <v>280</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279</v>
      </c>
      <c r="BE7" s="486"/>
      <c r="BF7" s="486"/>
      <c r="BG7" s="486"/>
      <c r="BH7" s="486"/>
      <c r="BI7" s="487"/>
      <c r="BJ7" s="488" t="s">
        <v>281</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279</v>
      </c>
      <c r="DH7" s="486"/>
      <c r="DI7" s="486"/>
      <c r="DJ7" s="486"/>
      <c r="DK7" s="486"/>
      <c r="DL7" s="487"/>
      <c r="DM7" s="488" t="s">
        <v>282</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279</v>
      </c>
      <c r="FK7" s="486"/>
      <c r="FL7" s="486"/>
      <c r="FM7" s="486"/>
      <c r="FN7" s="486"/>
      <c r="FO7" s="487"/>
      <c r="FP7" s="491" t="s">
        <v>283</v>
      </c>
      <c r="FQ7" s="492"/>
      <c r="FR7" s="492"/>
      <c r="FS7" s="492"/>
      <c r="FT7" s="492"/>
      <c r="FU7" s="492"/>
      <c r="FV7" s="493" t="s">
        <v>284</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285</v>
      </c>
      <c r="FQ8" s="518"/>
      <c r="FR8" s="519"/>
      <c r="FS8" s="520" t="s">
        <v>286</v>
      </c>
      <c r="FT8" s="520"/>
      <c r="FU8" s="521"/>
      <c r="FV8" s="522"/>
      <c r="FW8" s="523"/>
      <c r="FX8" s="523"/>
      <c r="FY8" s="523"/>
      <c r="FZ8" s="523"/>
      <c r="GA8" s="523"/>
      <c r="GB8" s="523"/>
      <c r="GC8" s="523"/>
      <c r="GD8" s="523"/>
      <c r="GE8" s="524"/>
      <c r="GF8" s="496"/>
      <c r="GG8" s="480"/>
      <c r="GH8" s="480"/>
      <c r="GI8" s="480"/>
      <c r="GJ8" s="525" t="s">
        <v>417</v>
      </c>
      <c r="GK8" s="525"/>
      <c r="GL8" s="526"/>
      <c r="GM8" s="527"/>
      <c r="GN8" s="526"/>
      <c r="GO8" s="527"/>
      <c r="GP8" s="526"/>
      <c r="GQ8" s="526"/>
      <c r="GR8" s="526"/>
      <c r="GS8" s="526"/>
      <c r="GT8" s="525" t="s">
        <v>417</v>
      </c>
      <c r="GU8" s="525"/>
      <c r="GV8" s="414"/>
      <c r="GW8" s="480"/>
      <c r="GX8" s="483"/>
      <c r="GY8" s="480"/>
      <c r="GZ8" s="483"/>
      <c r="HA8" s="527"/>
      <c r="HB8" s="527"/>
      <c r="HC8" s="527"/>
      <c r="HD8" s="438"/>
      <c r="HE8" s="438"/>
      <c r="HF8" s="1447"/>
      <c r="HG8" s="1447"/>
    </row>
    <row r="9" spans="1:353" ht="22.5" customHeight="1">
      <c r="A9" s="529" t="s">
        <v>287</v>
      </c>
      <c r="B9" s="530" t="s">
        <v>288</v>
      </c>
      <c r="C9" s="531" t="s">
        <v>289</v>
      </c>
      <c r="D9" s="531" t="s">
        <v>513</v>
      </c>
      <c r="E9" s="532" t="s">
        <v>514</v>
      </c>
      <c r="F9" s="533" t="s">
        <v>292</v>
      </c>
      <c r="G9" s="534" t="s">
        <v>515</v>
      </c>
      <c r="H9" s="535" t="s">
        <v>516</v>
      </c>
      <c r="I9" s="536" t="s">
        <v>295</v>
      </c>
      <c r="J9" s="535" t="s">
        <v>516</v>
      </c>
      <c r="K9" s="536" t="s">
        <v>295</v>
      </c>
      <c r="L9" s="535" t="s">
        <v>516</v>
      </c>
      <c r="M9" s="536" t="s">
        <v>295</v>
      </c>
      <c r="N9" s="535" t="s">
        <v>516</v>
      </c>
      <c r="O9" s="536" t="s">
        <v>295</v>
      </c>
      <c r="P9" s="535" t="s">
        <v>516</v>
      </c>
      <c r="Q9" s="536" t="s">
        <v>295</v>
      </c>
      <c r="R9" s="535" t="s">
        <v>516</v>
      </c>
      <c r="S9" s="536" t="s">
        <v>295</v>
      </c>
      <c r="T9" s="535" t="s">
        <v>516</v>
      </c>
      <c r="U9" s="536" t="s">
        <v>295</v>
      </c>
      <c r="V9" s="535" t="s">
        <v>516</v>
      </c>
      <c r="W9" s="536" t="s">
        <v>295</v>
      </c>
      <c r="X9" s="535" t="s">
        <v>516</v>
      </c>
      <c r="Y9" s="536" t="s">
        <v>295</v>
      </c>
      <c r="Z9" s="535" t="s">
        <v>516</v>
      </c>
      <c r="AA9" s="536" t="s">
        <v>295</v>
      </c>
      <c r="AB9" s="535" t="s">
        <v>516</v>
      </c>
      <c r="AC9" s="536" t="s">
        <v>295</v>
      </c>
      <c r="AD9" s="535" t="s">
        <v>516</v>
      </c>
      <c r="AE9" s="536" t="s">
        <v>295</v>
      </c>
      <c r="AF9" s="535" t="s">
        <v>516</v>
      </c>
      <c r="AG9" s="536" t="s">
        <v>295</v>
      </c>
      <c r="AH9" s="535" t="s">
        <v>516</v>
      </c>
      <c r="AI9" s="536" t="s">
        <v>295</v>
      </c>
      <c r="AJ9" s="535" t="s">
        <v>516</v>
      </c>
      <c r="AK9" s="536" t="s">
        <v>295</v>
      </c>
      <c r="AL9" s="535" t="s">
        <v>516</v>
      </c>
      <c r="AM9" s="536" t="s">
        <v>295</v>
      </c>
      <c r="AN9" s="535" t="s">
        <v>516</v>
      </c>
      <c r="AO9" s="536" t="s">
        <v>295</v>
      </c>
      <c r="AP9" s="535" t="s">
        <v>516</v>
      </c>
      <c r="AQ9" s="536" t="s">
        <v>295</v>
      </c>
      <c r="AR9" s="535" t="s">
        <v>516</v>
      </c>
      <c r="AS9" s="536" t="s">
        <v>295</v>
      </c>
      <c r="AT9" s="535" t="s">
        <v>516</v>
      </c>
      <c r="AU9" s="536" t="s">
        <v>295</v>
      </c>
      <c r="AV9" s="535" t="s">
        <v>516</v>
      </c>
      <c r="AW9" s="536" t="s">
        <v>295</v>
      </c>
      <c r="AX9" s="535" t="s">
        <v>516</v>
      </c>
      <c r="AY9" s="536" t="s">
        <v>295</v>
      </c>
      <c r="AZ9" s="535" t="s">
        <v>516</v>
      </c>
      <c r="BA9" s="536" t="s">
        <v>295</v>
      </c>
      <c r="BB9" s="537" t="s">
        <v>297</v>
      </c>
      <c r="BC9" s="500"/>
      <c r="BD9" s="529" t="s">
        <v>287</v>
      </c>
      <c r="BE9" s="530" t="s">
        <v>288</v>
      </c>
      <c r="BF9" s="531" t="s">
        <v>289</v>
      </c>
      <c r="BG9" s="531" t="s">
        <v>513</v>
      </c>
      <c r="BH9" s="532" t="s">
        <v>514</v>
      </c>
      <c r="BI9" s="533" t="s">
        <v>292</v>
      </c>
      <c r="BJ9" s="534" t="s">
        <v>515</v>
      </c>
      <c r="BK9" s="535" t="s">
        <v>516</v>
      </c>
      <c r="BL9" s="536" t="s">
        <v>295</v>
      </c>
      <c r="BM9" s="535" t="s">
        <v>516</v>
      </c>
      <c r="BN9" s="536" t="s">
        <v>295</v>
      </c>
      <c r="BO9" s="535" t="s">
        <v>516</v>
      </c>
      <c r="BP9" s="536" t="s">
        <v>295</v>
      </c>
      <c r="BQ9" s="535" t="s">
        <v>516</v>
      </c>
      <c r="BR9" s="536" t="s">
        <v>295</v>
      </c>
      <c r="BS9" s="535" t="s">
        <v>516</v>
      </c>
      <c r="BT9" s="536" t="s">
        <v>295</v>
      </c>
      <c r="BU9" s="535" t="s">
        <v>516</v>
      </c>
      <c r="BV9" s="536" t="s">
        <v>295</v>
      </c>
      <c r="BW9" s="535" t="s">
        <v>516</v>
      </c>
      <c r="BX9" s="536" t="s">
        <v>295</v>
      </c>
      <c r="BY9" s="535" t="s">
        <v>516</v>
      </c>
      <c r="BZ9" s="536" t="s">
        <v>295</v>
      </c>
      <c r="CA9" s="535" t="s">
        <v>516</v>
      </c>
      <c r="CB9" s="536" t="s">
        <v>295</v>
      </c>
      <c r="CC9" s="535" t="s">
        <v>516</v>
      </c>
      <c r="CD9" s="536" t="s">
        <v>295</v>
      </c>
      <c r="CE9" s="535" t="s">
        <v>516</v>
      </c>
      <c r="CF9" s="536" t="s">
        <v>295</v>
      </c>
      <c r="CG9" s="535" t="s">
        <v>516</v>
      </c>
      <c r="CH9" s="536" t="s">
        <v>295</v>
      </c>
      <c r="CI9" s="535" t="s">
        <v>516</v>
      </c>
      <c r="CJ9" s="536" t="s">
        <v>295</v>
      </c>
      <c r="CK9" s="535" t="s">
        <v>516</v>
      </c>
      <c r="CL9" s="536" t="s">
        <v>295</v>
      </c>
      <c r="CM9" s="535" t="s">
        <v>516</v>
      </c>
      <c r="CN9" s="536" t="s">
        <v>295</v>
      </c>
      <c r="CO9" s="535" t="s">
        <v>516</v>
      </c>
      <c r="CP9" s="536" t="s">
        <v>295</v>
      </c>
      <c r="CQ9" s="535" t="s">
        <v>516</v>
      </c>
      <c r="CR9" s="536" t="s">
        <v>295</v>
      </c>
      <c r="CS9" s="535" t="s">
        <v>516</v>
      </c>
      <c r="CT9" s="536" t="s">
        <v>295</v>
      </c>
      <c r="CU9" s="535" t="s">
        <v>516</v>
      </c>
      <c r="CV9" s="536" t="s">
        <v>295</v>
      </c>
      <c r="CW9" s="535" t="s">
        <v>516</v>
      </c>
      <c r="CX9" s="536" t="s">
        <v>295</v>
      </c>
      <c r="CY9" s="535" t="s">
        <v>516</v>
      </c>
      <c r="CZ9" s="536" t="s">
        <v>295</v>
      </c>
      <c r="DA9" s="535" t="s">
        <v>516</v>
      </c>
      <c r="DB9" s="536" t="s">
        <v>295</v>
      </c>
      <c r="DC9" s="535" t="s">
        <v>516</v>
      </c>
      <c r="DD9" s="536" t="s">
        <v>295</v>
      </c>
      <c r="DE9" s="537" t="s">
        <v>297</v>
      </c>
      <c r="DF9" s="500"/>
      <c r="DG9" s="529" t="s">
        <v>287</v>
      </c>
      <c r="DH9" s="530" t="s">
        <v>288</v>
      </c>
      <c r="DI9" s="531" t="s">
        <v>289</v>
      </c>
      <c r="DJ9" s="531" t="s">
        <v>513</v>
      </c>
      <c r="DK9" s="532" t="s">
        <v>514</v>
      </c>
      <c r="DL9" s="533" t="s">
        <v>292</v>
      </c>
      <c r="DM9" s="534" t="s">
        <v>515</v>
      </c>
      <c r="DN9" s="535" t="s">
        <v>516</v>
      </c>
      <c r="DO9" s="536" t="s">
        <v>295</v>
      </c>
      <c r="DP9" s="535" t="s">
        <v>516</v>
      </c>
      <c r="DQ9" s="536" t="s">
        <v>295</v>
      </c>
      <c r="DR9" s="535" t="s">
        <v>516</v>
      </c>
      <c r="DS9" s="536" t="s">
        <v>295</v>
      </c>
      <c r="DT9" s="535" t="s">
        <v>516</v>
      </c>
      <c r="DU9" s="536" t="s">
        <v>295</v>
      </c>
      <c r="DV9" s="535" t="s">
        <v>516</v>
      </c>
      <c r="DW9" s="536" t="s">
        <v>295</v>
      </c>
      <c r="DX9" s="535" t="s">
        <v>516</v>
      </c>
      <c r="DY9" s="536" t="s">
        <v>295</v>
      </c>
      <c r="DZ9" s="535" t="s">
        <v>516</v>
      </c>
      <c r="EA9" s="536" t="s">
        <v>295</v>
      </c>
      <c r="EB9" s="535" t="s">
        <v>516</v>
      </c>
      <c r="EC9" s="536" t="s">
        <v>295</v>
      </c>
      <c r="ED9" s="535" t="s">
        <v>516</v>
      </c>
      <c r="EE9" s="536" t="s">
        <v>295</v>
      </c>
      <c r="EF9" s="535" t="s">
        <v>516</v>
      </c>
      <c r="EG9" s="536" t="s">
        <v>295</v>
      </c>
      <c r="EH9" s="535" t="s">
        <v>516</v>
      </c>
      <c r="EI9" s="536" t="s">
        <v>295</v>
      </c>
      <c r="EJ9" s="535" t="s">
        <v>516</v>
      </c>
      <c r="EK9" s="536" t="s">
        <v>295</v>
      </c>
      <c r="EL9" s="535" t="s">
        <v>516</v>
      </c>
      <c r="EM9" s="536" t="s">
        <v>295</v>
      </c>
      <c r="EN9" s="535" t="s">
        <v>516</v>
      </c>
      <c r="EO9" s="536" t="s">
        <v>295</v>
      </c>
      <c r="EP9" s="535" t="s">
        <v>516</v>
      </c>
      <c r="EQ9" s="536" t="s">
        <v>295</v>
      </c>
      <c r="ER9" s="535" t="s">
        <v>516</v>
      </c>
      <c r="ES9" s="536" t="s">
        <v>295</v>
      </c>
      <c r="ET9" s="535" t="s">
        <v>516</v>
      </c>
      <c r="EU9" s="536" t="s">
        <v>295</v>
      </c>
      <c r="EV9" s="535" t="s">
        <v>516</v>
      </c>
      <c r="EW9" s="536" t="s">
        <v>295</v>
      </c>
      <c r="EX9" s="535" t="s">
        <v>516</v>
      </c>
      <c r="EY9" s="536" t="s">
        <v>295</v>
      </c>
      <c r="EZ9" s="535" t="s">
        <v>516</v>
      </c>
      <c r="FA9" s="536" t="s">
        <v>295</v>
      </c>
      <c r="FB9" s="535" t="s">
        <v>516</v>
      </c>
      <c r="FC9" s="536" t="s">
        <v>295</v>
      </c>
      <c r="FD9" s="535" t="s">
        <v>516</v>
      </c>
      <c r="FE9" s="536" t="s">
        <v>295</v>
      </c>
      <c r="FF9" s="535" t="s">
        <v>516</v>
      </c>
      <c r="FG9" s="536" t="s">
        <v>295</v>
      </c>
      <c r="FH9" s="537" t="s">
        <v>297</v>
      </c>
      <c r="FI9" s="538"/>
      <c r="FJ9" s="539" t="s">
        <v>287</v>
      </c>
      <c r="FK9" s="530" t="s">
        <v>288</v>
      </c>
      <c r="FL9" s="531" t="s">
        <v>289</v>
      </c>
      <c r="FM9" s="531" t="s">
        <v>513</v>
      </c>
      <c r="FN9" s="532" t="s">
        <v>514</v>
      </c>
      <c r="FO9" s="533" t="s">
        <v>292</v>
      </c>
      <c r="FP9" s="540" t="s">
        <v>43</v>
      </c>
      <c r="FQ9" s="541" t="s">
        <v>295</v>
      </c>
      <c r="FR9" s="535" t="s">
        <v>297</v>
      </c>
      <c r="FS9" s="542" t="s">
        <v>43</v>
      </c>
      <c r="FT9" s="541" t="s">
        <v>295</v>
      </c>
      <c r="FU9" s="535" t="s">
        <v>297</v>
      </c>
      <c r="FV9" s="522"/>
      <c r="FW9" s="523"/>
      <c r="FX9" s="523"/>
      <c r="FY9" s="523"/>
      <c r="FZ9" s="523"/>
      <c r="GA9" s="523"/>
      <c r="GB9" s="523"/>
      <c r="GC9" s="523"/>
      <c r="GD9" s="543"/>
      <c r="GE9" s="544"/>
      <c r="GF9" s="496"/>
      <c r="GG9" s="545"/>
      <c r="GH9" s="545"/>
      <c r="GI9" s="545"/>
      <c r="GJ9" s="526"/>
      <c r="GK9" s="527" t="s">
        <v>441</v>
      </c>
      <c r="GL9" s="526"/>
      <c r="GM9" s="527"/>
      <c r="GN9" s="526"/>
      <c r="GO9" s="546">
        <v>0.92</v>
      </c>
      <c r="GP9" s="526"/>
      <c r="GQ9" s="526"/>
      <c r="GR9" s="526"/>
      <c r="GS9" s="526"/>
      <c r="GT9" s="547"/>
      <c r="GU9" s="480" t="s">
        <v>442</v>
      </c>
      <c r="GV9" s="414"/>
      <c r="GW9" s="480"/>
      <c r="GX9" s="548">
        <v>1</v>
      </c>
      <c r="GY9" s="480"/>
      <c r="GZ9" s="483"/>
      <c r="HA9" s="527"/>
      <c r="HB9" s="527"/>
      <c r="HC9" s="527"/>
      <c r="HD9" s="438"/>
      <c r="HE9" s="438"/>
      <c r="HF9" s="1451"/>
      <c r="HG9" s="1451"/>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517</v>
      </c>
      <c r="FS10" s="563"/>
      <c r="FT10" s="555"/>
      <c r="FU10" s="564" t="s">
        <v>517</v>
      </c>
      <c r="FV10" s="565" t="s">
        <v>301</v>
      </c>
      <c r="FW10" s="1265"/>
      <c r="FX10" s="1266" t="s">
        <v>302</v>
      </c>
      <c r="FY10" s="1267"/>
      <c r="FZ10" s="1268" t="s">
        <v>303</v>
      </c>
      <c r="GA10" s="1269"/>
      <c r="GB10" s="1270" t="s">
        <v>534</v>
      </c>
      <c r="GC10" s="1271"/>
      <c r="GD10" s="573" t="s">
        <v>535</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1"/>
      <c r="HG10" s="1451"/>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517</v>
      </c>
      <c r="FS11" s="588"/>
      <c r="FT11" s="583"/>
      <c r="FU11" s="589" t="s">
        <v>517</v>
      </c>
      <c r="FV11" s="590"/>
      <c r="FW11" s="591"/>
      <c r="FX11" s="592"/>
      <c r="FY11" s="593"/>
      <c r="FZ11" s="594"/>
      <c r="GA11" s="595"/>
      <c r="GB11" s="596"/>
      <c r="GC11" s="597"/>
      <c r="GD11" s="596"/>
      <c r="GE11" s="598"/>
      <c r="GF11" s="496"/>
      <c r="GG11" s="599"/>
      <c r="GH11" s="599"/>
      <c r="GI11" s="599"/>
      <c r="GJ11" s="526"/>
      <c r="GK11" s="577" t="s">
        <v>443</v>
      </c>
      <c r="GL11" s="414"/>
      <c r="GM11" s="480"/>
      <c r="GN11" s="483"/>
      <c r="GO11" s="480"/>
      <c r="GP11" s="414"/>
      <c r="GQ11" s="526"/>
      <c r="GR11" s="526"/>
      <c r="GS11" s="526"/>
      <c r="GT11" s="545"/>
      <c r="GU11" s="577" t="s">
        <v>444</v>
      </c>
      <c r="GV11" s="414"/>
      <c r="GW11" s="480"/>
      <c r="GX11" s="483"/>
      <c r="GY11" s="480"/>
      <c r="GZ11" s="414"/>
      <c r="HA11" s="527"/>
      <c r="HB11" s="527"/>
      <c r="HC11" s="410"/>
      <c r="HD11" s="792"/>
      <c r="HE11" s="438"/>
      <c r="HF11" s="1451"/>
      <c r="HG11" s="1451"/>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518</v>
      </c>
      <c r="FS12" s="588"/>
      <c r="FT12" s="583"/>
      <c r="FU12" s="589" t="s">
        <v>518</v>
      </c>
      <c r="FV12" s="590"/>
      <c r="FW12" s="591"/>
      <c r="FX12" s="592"/>
      <c r="FY12" s="593"/>
      <c r="FZ12" s="594"/>
      <c r="GA12" s="595"/>
      <c r="GB12" s="596"/>
      <c r="GC12" s="597"/>
      <c r="GD12" s="596"/>
      <c r="GE12" s="598"/>
      <c r="GF12" s="496"/>
      <c r="GG12" s="599"/>
      <c r="GH12" s="599"/>
      <c r="GI12" s="599"/>
      <c r="GJ12" s="414"/>
      <c r="GK12" s="600" t="s">
        <v>366</v>
      </c>
      <c r="GL12" s="601"/>
      <c r="GM12" s="602" t="s">
        <v>445</v>
      </c>
      <c r="GN12" s="603" t="s">
        <v>446</v>
      </c>
      <c r="GO12" s="604" t="s">
        <v>447</v>
      </c>
      <c r="GP12" s="605" t="s">
        <v>448</v>
      </c>
      <c r="GQ12" s="604" t="s">
        <v>449</v>
      </c>
      <c r="GR12" s="604" t="s">
        <v>450</v>
      </c>
      <c r="GS12" s="606"/>
      <c r="GT12" s="545"/>
      <c r="GU12" s="600" t="s">
        <v>366</v>
      </c>
      <c r="GV12" s="601"/>
      <c r="GW12" s="602" t="s">
        <v>445</v>
      </c>
      <c r="GX12" s="607" t="s">
        <v>451</v>
      </c>
      <c r="GY12" s="608"/>
      <c r="GZ12" s="609" t="s">
        <v>447</v>
      </c>
      <c r="HA12" s="610" t="s">
        <v>452</v>
      </c>
      <c r="HB12" s="611"/>
      <c r="HC12" s="612"/>
      <c r="HD12" s="792"/>
      <c r="HE12" s="438"/>
      <c r="HF12" s="1451"/>
      <c r="HG12" s="1451"/>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517</v>
      </c>
      <c r="FS13" s="623"/>
      <c r="FT13" s="618"/>
      <c r="FU13" s="624" t="s">
        <v>517</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519</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520</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519</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519</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0"/>
      <c r="HE14" s="416"/>
      <c r="HF14" s="416"/>
      <c r="HG14" s="416"/>
    </row>
    <row r="15" spans="1:353" ht="24" customHeight="1">
      <c r="A15" s="529" t="s">
        <v>307</v>
      </c>
      <c r="B15" s="655" t="s">
        <v>288</v>
      </c>
      <c r="C15" s="656" t="s">
        <v>289</v>
      </c>
      <c r="D15" s="657" t="s">
        <v>521</v>
      </c>
      <c r="E15" s="657" t="s">
        <v>308</v>
      </c>
      <c r="F15" s="658" t="s">
        <v>108</v>
      </c>
      <c r="G15" s="659" t="s">
        <v>522</v>
      </c>
      <c r="H15" s="660" t="s">
        <v>523</v>
      </c>
      <c r="I15" s="661" t="s">
        <v>311</v>
      </c>
      <c r="J15" s="660" t="s">
        <v>523</v>
      </c>
      <c r="K15" s="661" t="s">
        <v>311</v>
      </c>
      <c r="L15" s="660" t="s">
        <v>524</v>
      </c>
      <c r="M15" s="661" t="s">
        <v>311</v>
      </c>
      <c r="N15" s="660" t="s">
        <v>523</v>
      </c>
      <c r="O15" s="661" t="s">
        <v>311</v>
      </c>
      <c r="P15" s="660" t="s">
        <v>523</v>
      </c>
      <c r="Q15" s="661" t="s">
        <v>311</v>
      </c>
      <c r="R15" s="660" t="s">
        <v>524</v>
      </c>
      <c r="S15" s="661" t="s">
        <v>311</v>
      </c>
      <c r="T15" s="660" t="s">
        <v>524</v>
      </c>
      <c r="U15" s="661" t="s">
        <v>311</v>
      </c>
      <c r="V15" s="660" t="s">
        <v>523</v>
      </c>
      <c r="W15" s="661" t="s">
        <v>311</v>
      </c>
      <c r="X15" s="660" t="s">
        <v>523</v>
      </c>
      <c r="Y15" s="661" t="s">
        <v>311</v>
      </c>
      <c r="Z15" s="660" t="s">
        <v>523</v>
      </c>
      <c r="AA15" s="661" t="s">
        <v>311</v>
      </c>
      <c r="AB15" s="660" t="s">
        <v>524</v>
      </c>
      <c r="AC15" s="661" t="s">
        <v>311</v>
      </c>
      <c r="AD15" s="660" t="s">
        <v>523</v>
      </c>
      <c r="AE15" s="661" t="s">
        <v>311</v>
      </c>
      <c r="AF15" s="660" t="s">
        <v>523</v>
      </c>
      <c r="AG15" s="661" t="s">
        <v>311</v>
      </c>
      <c r="AH15" s="660" t="s">
        <v>523</v>
      </c>
      <c r="AI15" s="661" t="s">
        <v>311</v>
      </c>
      <c r="AJ15" s="660" t="s">
        <v>524</v>
      </c>
      <c r="AK15" s="661" t="s">
        <v>311</v>
      </c>
      <c r="AL15" s="660" t="s">
        <v>524</v>
      </c>
      <c r="AM15" s="661" t="s">
        <v>311</v>
      </c>
      <c r="AN15" s="660" t="s">
        <v>524</v>
      </c>
      <c r="AO15" s="661" t="s">
        <v>311</v>
      </c>
      <c r="AP15" s="660" t="s">
        <v>524</v>
      </c>
      <c r="AQ15" s="661" t="s">
        <v>311</v>
      </c>
      <c r="AR15" s="660" t="s">
        <v>524</v>
      </c>
      <c r="AS15" s="661" t="s">
        <v>311</v>
      </c>
      <c r="AT15" s="660" t="s">
        <v>523</v>
      </c>
      <c r="AU15" s="661" t="s">
        <v>311</v>
      </c>
      <c r="AV15" s="660" t="s">
        <v>524</v>
      </c>
      <c r="AW15" s="661" t="s">
        <v>311</v>
      </c>
      <c r="AX15" s="660" t="s">
        <v>525</v>
      </c>
      <c r="AY15" s="661" t="s">
        <v>311</v>
      </c>
      <c r="AZ15" s="660" t="s">
        <v>523</v>
      </c>
      <c r="BA15" s="661" t="s">
        <v>311</v>
      </c>
      <c r="BB15" s="662" t="s">
        <v>314</v>
      </c>
      <c r="BC15" s="663"/>
      <c r="BD15" s="529" t="s">
        <v>307</v>
      </c>
      <c r="BE15" s="655" t="s">
        <v>288</v>
      </c>
      <c r="BF15" s="656" t="s">
        <v>289</v>
      </c>
      <c r="BG15" s="657" t="s">
        <v>513</v>
      </c>
      <c r="BH15" s="657" t="s">
        <v>308</v>
      </c>
      <c r="BI15" s="658" t="s">
        <v>108</v>
      </c>
      <c r="BJ15" s="659" t="s">
        <v>526</v>
      </c>
      <c r="BK15" s="660" t="s">
        <v>525</v>
      </c>
      <c r="BL15" s="661" t="s">
        <v>311</v>
      </c>
      <c r="BM15" s="660" t="s">
        <v>525</v>
      </c>
      <c r="BN15" s="661" t="s">
        <v>311</v>
      </c>
      <c r="BO15" s="660" t="s">
        <v>523</v>
      </c>
      <c r="BP15" s="661" t="s">
        <v>311</v>
      </c>
      <c r="BQ15" s="660" t="s">
        <v>525</v>
      </c>
      <c r="BR15" s="661" t="s">
        <v>311</v>
      </c>
      <c r="BS15" s="660" t="s">
        <v>524</v>
      </c>
      <c r="BT15" s="661" t="s">
        <v>311</v>
      </c>
      <c r="BU15" s="660" t="s">
        <v>524</v>
      </c>
      <c r="BV15" s="661" t="s">
        <v>311</v>
      </c>
      <c r="BW15" s="660" t="s">
        <v>524</v>
      </c>
      <c r="BX15" s="661" t="s">
        <v>311</v>
      </c>
      <c r="BY15" s="660" t="s">
        <v>523</v>
      </c>
      <c r="BZ15" s="661" t="s">
        <v>311</v>
      </c>
      <c r="CA15" s="660" t="s">
        <v>524</v>
      </c>
      <c r="CB15" s="661" t="s">
        <v>311</v>
      </c>
      <c r="CC15" s="660" t="s">
        <v>523</v>
      </c>
      <c r="CD15" s="661" t="s">
        <v>311</v>
      </c>
      <c r="CE15" s="660" t="s">
        <v>523</v>
      </c>
      <c r="CF15" s="661" t="s">
        <v>311</v>
      </c>
      <c r="CG15" s="660" t="s">
        <v>523</v>
      </c>
      <c r="CH15" s="661" t="s">
        <v>311</v>
      </c>
      <c r="CI15" s="660" t="s">
        <v>523</v>
      </c>
      <c r="CJ15" s="661" t="s">
        <v>311</v>
      </c>
      <c r="CK15" s="660" t="s">
        <v>525</v>
      </c>
      <c r="CL15" s="661" t="s">
        <v>311</v>
      </c>
      <c r="CM15" s="660" t="s">
        <v>523</v>
      </c>
      <c r="CN15" s="661" t="s">
        <v>311</v>
      </c>
      <c r="CO15" s="660" t="s">
        <v>523</v>
      </c>
      <c r="CP15" s="661" t="s">
        <v>311</v>
      </c>
      <c r="CQ15" s="660" t="s">
        <v>524</v>
      </c>
      <c r="CR15" s="661" t="s">
        <v>311</v>
      </c>
      <c r="CS15" s="660" t="s">
        <v>523</v>
      </c>
      <c r="CT15" s="661" t="s">
        <v>311</v>
      </c>
      <c r="CU15" s="660" t="s">
        <v>524</v>
      </c>
      <c r="CV15" s="661" t="s">
        <v>311</v>
      </c>
      <c r="CW15" s="660" t="s">
        <v>525</v>
      </c>
      <c r="CX15" s="661" t="s">
        <v>311</v>
      </c>
      <c r="CY15" s="660" t="s">
        <v>523</v>
      </c>
      <c r="CZ15" s="661" t="s">
        <v>311</v>
      </c>
      <c r="DA15" s="660" t="s">
        <v>523</v>
      </c>
      <c r="DB15" s="661" t="s">
        <v>311</v>
      </c>
      <c r="DC15" s="660" t="s">
        <v>523</v>
      </c>
      <c r="DD15" s="661" t="s">
        <v>311</v>
      </c>
      <c r="DE15" s="662" t="s">
        <v>314</v>
      </c>
      <c r="DF15" s="663"/>
      <c r="DG15" s="529" t="s">
        <v>307</v>
      </c>
      <c r="DH15" s="655" t="s">
        <v>288</v>
      </c>
      <c r="DI15" s="656" t="s">
        <v>289</v>
      </c>
      <c r="DJ15" s="657" t="s">
        <v>513</v>
      </c>
      <c r="DK15" s="657" t="s">
        <v>308</v>
      </c>
      <c r="DL15" s="658" t="s">
        <v>108</v>
      </c>
      <c r="DM15" s="659" t="s">
        <v>522</v>
      </c>
      <c r="DN15" s="660" t="s">
        <v>524</v>
      </c>
      <c r="DO15" s="661" t="s">
        <v>311</v>
      </c>
      <c r="DP15" s="660" t="s">
        <v>523</v>
      </c>
      <c r="DQ15" s="661" t="s">
        <v>311</v>
      </c>
      <c r="DR15" s="660" t="s">
        <v>525</v>
      </c>
      <c r="DS15" s="661" t="s">
        <v>311</v>
      </c>
      <c r="DT15" s="660" t="s">
        <v>523</v>
      </c>
      <c r="DU15" s="661" t="s">
        <v>311</v>
      </c>
      <c r="DV15" s="660" t="s">
        <v>523</v>
      </c>
      <c r="DW15" s="661" t="s">
        <v>311</v>
      </c>
      <c r="DX15" s="660" t="s">
        <v>523</v>
      </c>
      <c r="DY15" s="661" t="s">
        <v>311</v>
      </c>
      <c r="DZ15" s="660" t="s">
        <v>523</v>
      </c>
      <c r="EA15" s="661" t="s">
        <v>311</v>
      </c>
      <c r="EB15" s="660" t="s">
        <v>524</v>
      </c>
      <c r="EC15" s="661" t="s">
        <v>311</v>
      </c>
      <c r="ED15" s="660" t="s">
        <v>523</v>
      </c>
      <c r="EE15" s="661" t="s">
        <v>311</v>
      </c>
      <c r="EF15" s="660" t="s">
        <v>524</v>
      </c>
      <c r="EG15" s="661" t="s">
        <v>311</v>
      </c>
      <c r="EH15" s="660" t="s">
        <v>524</v>
      </c>
      <c r="EI15" s="661" t="s">
        <v>311</v>
      </c>
      <c r="EJ15" s="660" t="s">
        <v>523</v>
      </c>
      <c r="EK15" s="661" t="s">
        <v>311</v>
      </c>
      <c r="EL15" s="660" t="s">
        <v>525</v>
      </c>
      <c r="EM15" s="661" t="s">
        <v>311</v>
      </c>
      <c r="EN15" s="660" t="s">
        <v>523</v>
      </c>
      <c r="EO15" s="661" t="s">
        <v>311</v>
      </c>
      <c r="EP15" s="660" t="s">
        <v>527</v>
      </c>
      <c r="EQ15" s="661" t="s">
        <v>311</v>
      </c>
      <c r="ER15" s="660" t="s">
        <v>525</v>
      </c>
      <c r="ES15" s="661" t="s">
        <v>311</v>
      </c>
      <c r="ET15" s="660" t="s">
        <v>525</v>
      </c>
      <c r="EU15" s="661" t="s">
        <v>311</v>
      </c>
      <c r="EV15" s="660" t="s">
        <v>523</v>
      </c>
      <c r="EW15" s="661" t="s">
        <v>311</v>
      </c>
      <c r="EX15" s="660" t="s">
        <v>523</v>
      </c>
      <c r="EY15" s="661" t="s">
        <v>311</v>
      </c>
      <c r="EZ15" s="660" t="s">
        <v>525</v>
      </c>
      <c r="FA15" s="661" t="s">
        <v>311</v>
      </c>
      <c r="FB15" s="660" t="s">
        <v>523</v>
      </c>
      <c r="FC15" s="661" t="s">
        <v>311</v>
      </c>
      <c r="FD15" s="660" t="s">
        <v>524</v>
      </c>
      <c r="FE15" s="661" t="s">
        <v>311</v>
      </c>
      <c r="FF15" s="660" t="s">
        <v>525</v>
      </c>
      <c r="FG15" s="661" t="s">
        <v>311</v>
      </c>
      <c r="FH15" s="662" t="s">
        <v>314</v>
      </c>
      <c r="FI15" s="664"/>
      <c r="FJ15" s="539" t="s">
        <v>307</v>
      </c>
      <c r="FK15" s="655" t="s">
        <v>288</v>
      </c>
      <c r="FL15" s="656" t="s">
        <v>289</v>
      </c>
      <c r="FM15" s="657" t="s">
        <v>521</v>
      </c>
      <c r="FN15" s="657" t="s">
        <v>308</v>
      </c>
      <c r="FO15" s="658" t="s">
        <v>108</v>
      </c>
      <c r="FP15" s="665" t="s">
        <v>43</v>
      </c>
      <c r="FQ15" s="666" t="s">
        <v>311</v>
      </c>
      <c r="FR15" s="660" t="s">
        <v>314</v>
      </c>
      <c r="FS15" s="667" t="s">
        <v>43</v>
      </c>
      <c r="FT15" s="666" t="s">
        <v>311</v>
      </c>
      <c r="FU15" s="668" t="s">
        <v>314</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247</v>
      </c>
      <c r="C16" s="672"/>
      <c r="D16" s="552">
        <v>20.72</v>
      </c>
      <c r="E16" s="673">
        <v>2.5</v>
      </c>
      <c r="F16" s="674"/>
      <c r="G16" s="675">
        <v>0</v>
      </c>
      <c r="H16" s="556">
        <f>ROUND(20.72*2.5*0,0)</f>
        <v>0</v>
      </c>
      <c r="I16" s="676">
        <v>0</v>
      </c>
      <c r="J16" s="556">
        <f>ROUND(20.72*2.5*0,0)</f>
        <v>0</v>
      </c>
      <c r="K16" s="676">
        <v>0</v>
      </c>
      <c r="L16" s="556">
        <f>ROUND(20.72*2.5*0,0)</f>
        <v>0</v>
      </c>
      <c r="M16" s="676">
        <v>0</v>
      </c>
      <c r="N16" s="556">
        <f>ROUND(20.72*2.5*0,0)</f>
        <v>0</v>
      </c>
      <c r="O16" s="676">
        <v>0</v>
      </c>
      <c r="P16" s="556">
        <f>ROUND(20.72*2.5*0,0)</f>
        <v>0</v>
      </c>
      <c r="Q16" s="676">
        <v>0</v>
      </c>
      <c r="R16" s="556">
        <f>ROUND(20.72*2.5*0,0)</f>
        <v>0</v>
      </c>
      <c r="S16" s="676">
        <v>0</v>
      </c>
      <c r="T16" s="556">
        <f>ROUND(20.72*2.5*0,0)</f>
        <v>0</v>
      </c>
      <c r="U16" s="676">
        <v>0</v>
      </c>
      <c r="V16" s="556">
        <f>ROUND(20.72*2.5*0,0)</f>
        <v>0</v>
      </c>
      <c r="W16" s="676">
        <v>1.6</v>
      </c>
      <c r="X16" s="556">
        <f>ROUND(20.72*2.5*1.6,0)</f>
        <v>83</v>
      </c>
      <c r="Y16" s="676">
        <v>2</v>
      </c>
      <c r="Z16" s="556">
        <f>ROUND(20.72*2.5*2,0)</f>
        <v>104</v>
      </c>
      <c r="AA16" s="676">
        <v>2.2000000000000002</v>
      </c>
      <c r="AB16" s="556">
        <f>ROUND(20.72*2.5*2.2,0)</f>
        <v>114</v>
      </c>
      <c r="AC16" s="676">
        <v>2.2999999999999998</v>
      </c>
      <c r="AD16" s="556">
        <f>ROUND(20.72*2.5*2.3,0)</f>
        <v>119</v>
      </c>
      <c r="AE16" s="676">
        <v>2.4</v>
      </c>
      <c r="AF16" s="556">
        <f>ROUND(20.72*2.5*2.4,0)</f>
        <v>124</v>
      </c>
      <c r="AG16" s="676">
        <v>2.4</v>
      </c>
      <c r="AH16" s="556">
        <f>ROUND(20.72*2.5*2.4,0)</f>
        <v>124</v>
      </c>
      <c r="AI16" s="676">
        <v>2.2000000000000002</v>
      </c>
      <c r="AJ16" s="556">
        <f>ROUND(20.72*2.5*2.2,0)</f>
        <v>114</v>
      </c>
      <c r="AK16" s="676">
        <v>2.1</v>
      </c>
      <c r="AL16" s="556">
        <f>ROUND(20.72*2.5*2.1,0)</f>
        <v>109</v>
      </c>
      <c r="AM16" s="676">
        <v>1.8</v>
      </c>
      <c r="AN16" s="556">
        <f>ROUND(20.72*2.5*1.8,0)</f>
        <v>93</v>
      </c>
      <c r="AO16" s="676">
        <v>1.6</v>
      </c>
      <c r="AP16" s="556">
        <f>ROUND(20.72*2.5*1.6,0)</f>
        <v>83</v>
      </c>
      <c r="AQ16" s="676">
        <v>0</v>
      </c>
      <c r="AR16" s="556">
        <f>ROUND(20.72*2.5*0,0)</f>
        <v>0</v>
      </c>
      <c r="AS16" s="676">
        <v>0</v>
      </c>
      <c r="AT16" s="556">
        <f>ROUND(20.72*2.5*0,0)</f>
        <v>0</v>
      </c>
      <c r="AU16" s="676">
        <v>0</v>
      </c>
      <c r="AV16" s="556">
        <f>ROUND(20.72*2.5*0,0)</f>
        <v>0</v>
      </c>
      <c r="AW16" s="676">
        <v>0</v>
      </c>
      <c r="AX16" s="556">
        <f>ROUND(20.72*2.5*0,0)</f>
        <v>0</v>
      </c>
      <c r="AY16" s="676">
        <v>0</v>
      </c>
      <c r="AZ16" s="556">
        <f>ROUND(20.72*2.5*0,0)</f>
        <v>0</v>
      </c>
      <c r="BA16" s="676">
        <v>0</v>
      </c>
      <c r="BB16" s="677">
        <f>ROUND(20.72*2.5*0,0)</f>
        <v>0</v>
      </c>
      <c r="BC16" s="559"/>
      <c r="BD16" s="549"/>
      <c r="BE16" s="551" t="s">
        <v>247</v>
      </c>
      <c r="BF16" s="672"/>
      <c r="BG16" s="552">
        <v>20.72</v>
      </c>
      <c r="BH16" s="673">
        <v>2.5</v>
      </c>
      <c r="BI16" s="674"/>
      <c r="BJ16" s="675">
        <v>0</v>
      </c>
      <c r="BK16" s="556">
        <f>ROUND(20.72*2.5*0,0)</f>
        <v>0</v>
      </c>
      <c r="BL16" s="676">
        <v>0</v>
      </c>
      <c r="BM16" s="556">
        <f>ROUND(20.72*2.5*0,0)</f>
        <v>0</v>
      </c>
      <c r="BN16" s="676">
        <v>0</v>
      </c>
      <c r="BO16" s="556">
        <f>ROUND(20.72*2.5*0,0)</f>
        <v>0</v>
      </c>
      <c r="BP16" s="676">
        <v>0</v>
      </c>
      <c r="BQ16" s="556">
        <f>ROUND(20.72*2.5*0,0)</f>
        <v>0</v>
      </c>
      <c r="BR16" s="676">
        <v>0</v>
      </c>
      <c r="BS16" s="556">
        <f>ROUND(20.72*2.5*0,0)</f>
        <v>0</v>
      </c>
      <c r="BT16" s="676">
        <v>0</v>
      </c>
      <c r="BU16" s="556">
        <f>ROUND(20.72*2.5*0,0)</f>
        <v>0</v>
      </c>
      <c r="BV16" s="676">
        <v>0</v>
      </c>
      <c r="BW16" s="556">
        <f>ROUND(20.72*2.5*0,0)</f>
        <v>0</v>
      </c>
      <c r="BX16" s="676">
        <v>0</v>
      </c>
      <c r="BY16" s="556">
        <f>ROUND(20.72*2.5*0,0)</f>
        <v>0</v>
      </c>
      <c r="BZ16" s="676">
        <v>1.5</v>
      </c>
      <c r="CA16" s="556">
        <f>ROUND(20.72*2.5*1.5,0)</f>
        <v>78</v>
      </c>
      <c r="CB16" s="676">
        <v>1.8</v>
      </c>
      <c r="CC16" s="556">
        <f>ROUND(20.72*2.5*1.8,0)</f>
        <v>93</v>
      </c>
      <c r="CD16" s="676">
        <v>2.1</v>
      </c>
      <c r="CE16" s="556">
        <f>ROUND(20.72*2.5*2.1,0)</f>
        <v>109</v>
      </c>
      <c r="CF16" s="676">
        <v>2.2000000000000002</v>
      </c>
      <c r="CG16" s="556">
        <f>ROUND(20.72*2.5*2.2,0)</f>
        <v>114</v>
      </c>
      <c r="CH16" s="676">
        <v>2.2999999999999998</v>
      </c>
      <c r="CI16" s="556">
        <f>ROUND(20.72*2.5*2.3,0)</f>
        <v>119</v>
      </c>
      <c r="CJ16" s="676">
        <v>2.2000000000000002</v>
      </c>
      <c r="CK16" s="556">
        <f>ROUND(20.72*2.5*2.2,0)</f>
        <v>114</v>
      </c>
      <c r="CL16" s="676">
        <v>2.1</v>
      </c>
      <c r="CM16" s="556">
        <f>ROUND(20.72*2.5*2.1,0)</f>
        <v>109</v>
      </c>
      <c r="CN16" s="676">
        <v>2</v>
      </c>
      <c r="CO16" s="556">
        <f>ROUND(20.72*2.5*2,0)</f>
        <v>104</v>
      </c>
      <c r="CP16" s="676">
        <v>1.8</v>
      </c>
      <c r="CQ16" s="556">
        <f>ROUND(20.72*2.5*1.8,0)</f>
        <v>93</v>
      </c>
      <c r="CR16" s="676">
        <v>1.5</v>
      </c>
      <c r="CS16" s="556">
        <f>ROUND(20.72*2.5*1.5,0)</f>
        <v>78</v>
      </c>
      <c r="CT16" s="676">
        <v>0</v>
      </c>
      <c r="CU16" s="556">
        <f>ROUND(20.72*2.5*0,0)</f>
        <v>0</v>
      </c>
      <c r="CV16" s="676">
        <v>0</v>
      </c>
      <c r="CW16" s="556">
        <f>ROUND(20.72*2.5*0,0)</f>
        <v>0</v>
      </c>
      <c r="CX16" s="676">
        <v>0</v>
      </c>
      <c r="CY16" s="556">
        <f>ROUND(20.72*2.5*0,0)</f>
        <v>0</v>
      </c>
      <c r="CZ16" s="676">
        <v>0</v>
      </c>
      <c r="DA16" s="556">
        <f>ROUND(20.72*2.5*0,0)</f>
        <v>0</v>
      </c>
      <c r="DB16" s="676">
        <v>0</v>
      </c>
      <c r="DC16" s="556">
        <f>ROUND(20.72*2.5*0,0)</f>
        <v>0</v>
      </c>
      <c r="DD16" s="676">
        <v>0</v>
      </c>
      <c r="DE16" s="677">
        <f>ROUND(20.72*2.5*0,0)</f>
        <v>0</v>
      </c>
      <c r="DF16" s="559"/>
      <c r="DG16" s="549"/>
      <c r="DH16" s="551" t="s">
        <v>247</v>
      </c>
      <c r="DI16" s="672"/>
      <c r="DJ16" s="552">
        <v>20.72</v>
      </c>
      <c r="DK16" s="673">
        <v>2.5</v>
      </c>
      <c r="DL16" s="674"/>
      <c r="DM16" s="675">
        <v>0</v>
      </c>
      <c r="DN16" s="556">
        <f>ROUND(20.72*2.5*0,0)</f>
        <v>0</v>
      </c>
      <c r="DO16" s="676">
        <v>0</v>
      </c>
      <c r="DP16" s="556">
        <f>ROUND(20.72*2.5*0,0)</f>
        <v>0</v>
      </c>
      <c r="DQ16" s="676">
        <v>0</v>
      </c>
      <c r="DR16" s="556">
        <f>ROUND(20.72*2.5*0,0)</f>
        <v>0</v>
      </c>
      <c r="DS16" s="676">
        <v>0</v>
      </c>
      <c r="DT16" s="556">
        <f>ROUND(20.72*2.5*0,0)</f>
        <v>0</v>
      </c>
      <c r="DU16" s="676">
        <v>0</v>
      </c>
      <c r="DV16" s="556">
        <f>ROUND(20.72*2.5*0,0)</f>
        <v>0</v>
      </c>
      <c r="DW16" s="676">
        <v>0</v>
      </c>
      <c r="DX16" s="556">
        <f>ROUND(20.72*2.5*0,0)</f>
        <v>0</v>
      </c>
      <c r="DY16" s="676">
        <v>0</v>
      </c>
      <c r="DZ16" s="556">
        <f>ROUND(20.72*2.5*0,0)</f>
        <v>0</v>
      </c>
      <c r="EA16" s="676">
        <v>0</v>
      </c>
      <c r="EB16" s="556">
        <f>ROUND(20.72*2.5*0,0)</f>
        <v>0</v>
      </c>
      <c r="EC16" s="676">
        <v>0.8</v>
      </c>
      <c r="ED16" s="556">
        <f>ROUND(20.72*2.5*0.8,0)</f>
        <v>41</v>
      </c>
      <c r="EE16" s="676">
        <v>1.2</v>
      </c>
      <c r="EF16" s="556">
        <f>ROUND(20.72*2.5*1.2,0)</f>
        <v>62</v>
      </c>
      <c r="EG16" s="676">
        <v>1.5</v>
      </c>
      <c r="EH16" s="556">
        <f>ROUND(20.72*2.5*1.5,0)</f>
        <v>78</v>
      </c>
      <c r="EI16" s="676">
        <v>1.7</v>
      </c>
      <c r="EJ16" s="556">
        <f>ROUND(20.72*2.5*1.7,0)</f>
        <v>88</v>
      </c>
      <c r="EK16" s="676">
        <v>1.7</v>
      </c>
      <c r="EL16" s="556">
        <f>ROUND(20.72*2.5*1.7,0)</f>
        <v>88</v>
      </c>
      <c r="EM16" s="676">
        <v>1.6</v>
      </c>
      <c r="EN16" s="556">
        <f>ROUND(20.72*2.5*1.6,0)</f>
        <v>83</v>
      </c>
      <c r="EO16" s="676">
        <v>1.5</v>
      </c>
      <c r="EP16" s="556">
        <f>ROUND(20.72*2.5*1.5,0)</f>
        <v>78</v>
      </c>
      <c r="EQ16" s="676">
        <v>1.4</v>
      </c>
      <c r="ER16" s="556">
        <f>ROUND(20.72*2.5*1.4,0)</f>
        <v>73</v>
      </c>
      <c r="ES16" s="676">
        <v>1.1000000000000001</v>
      </c>
      <c r="ET16" s="556">
        <f>ROUND(20.72*2.5*1.1,0)</f>
        <v>57</v>
      </c>
      <c r="EU16" s="676">
        <v>0.8</v>
      </c>
      <c r="EV16" s="556">
        <f>ROUND(20.72*2.5*0.8,0)</f>
        <v>41</v>
      </c>
      <c r="EW16" s="676">
        <v>0</v>
      </c>
      <c r="EX16" s="556">
        <f>ROUND(20.72*2.5*0,0)</f>
        <v>0</v>
      </c>
      <c r="EY16" s="676">
        <v>0</v>
      </c>
      <c r="EZ16" s="556">
        <f>ROUND(20.72*2.5*0,0)</f>
        <v>0</v>
      </c>
      <c r="FA16" s="676">
        <v>0</v>
      </c>
      <c r="FB16" s="556">
        <f>ROUND(20.72*2.5*0,0)</f>
        <v>0</v>
      </c>
      <c r="FC16" s="676">
        <v>0</v>
      </c>
      <c r="FD16" s="556">
        <f>ROUND(20.72*2.5*0,0)</f>
        <v>0</v>
      </c>
      <c r="FE16" s="676">
        <v>0</v>
      </c>
      <c r="FF16" s="556">
        <f>ROUND(20.72*2.5*0,0)</f>
        <v>0</v>
      </c>
      <c r="FG16" s="676">
        <v>0</v>
      </c>
      <c r="FH16" s="677">
        <f>ROUND(20.72*2.5*0,0)</f>
        <v>0</v>
      </c>
      <c r="FI16" s="560"/>
      <c r="FJ16" s="561"/>
      <c r="FK16" s="551" t="s">
        <v>247</v>
      </c>
      <c r="FL16" s="672"/>
      <c r="FM16" s="552">
        <v>20.72</v>
      </c>
      <c r="FN16" s="673">
        <v>2.5</v>
      </c>
      <c r="FO16" s="674"/>
      <c r="FP16" s="678">
        <v>9</v>
      </c>
      <c r="FQ16" s="679">
        <v>6</v>
      </c>
      <c r="FR16" s="556">
        <f>ROUND(20.72*2.5*6,0)</f>
        <v>311</v>
      </c>
      <c r="FS16" s="680">
        <v>9</v>
      </c>
      <c r="FT16" s="679">
        <v>6.1</v>
      </c>
      <c r="FU16" s="564">
        <f>ROUND(20.72*2.5*6.1,0)</f>
        <v>316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247</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2.1</v>
      </c>
      <c r="X17" s="584">
        <f>ROUND(8.96*2.5*2.1,0)</f>
        <v>47</v>
      </c>
      <c r="Y17" s="688">
        <v>2.6</v>
      </c>
      <c r="Z17" s="584">
        <f>ROUND(8.96*2.5*2.6,0)</f>
        <v>58</v>
      </c>
      <c r="AA17" s="688">
        <v>2.9</v>
      </c>
      <c r="AB17" s="584">
        <f>ROUND(8.96*2.5*2.9,0)</f>
        <v>65</v>
      </c>
      <c r="AC17" s="688">
        <v>3.1</v>
      </c>
      <c r="AD17" s="584">
        <f>ROUND(8.96*2.5*3.1,0)</f>
        <v>69</v>
      </c>
      <c r="AE17" s="688">
        <v>3.2</v>
      </c>
      <c r="AF17" s="584">
        <f>ROUND(8.96*2.5*3.2,0)</f>
        <v>72</v>
      </c>
      <c r="AG17" s="688">
        <v>3.2</v>
      </c>
      <c r="AH17" s="584">
        <f>ROUND(8.96*2.5*3.2,0)</f>
        <v>72</v>
      </c>
      <c r="AI17" s="688">
        <v>3</v>
      </c>
      <c r="AJ17" s="584">
        <f>ROUND(8.96*2.5*3,0)</f>
        <v>67</v>
      </c>
      <c r="AK17" s="688">
        <v>2.8</v>
      </c>
      <c r="AL17" s="584">
        <f>ROUND(8.96*2.5*2.8,0)</f>
        <v>63</v>
      </c>
      <c r="AM17" s="688">
        <v>2.4</v>
      </c>
      <c r="AN17" s="584">
        <f>ROUND(8.96*2.5*2.4,0)</f>
        <v>54</v>
      </c>
      <c r="AO17" s="688">
        <v>2.1</v>
      </c>
      <c r="AP17" s="584">
        <f>ROUND(8.96*2.5*2.1,0)</f>
        <v>47</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247</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2</v>
      </c>
      <c r="CA17" s="584">
        <f>ROUND(8.96*2.5*2,0)</f>
        <v>45</v>
      </c>
      <c r="CB17" s="688">
        <v>2.4</v>
      </c>
      <c r="CC17" s="584">
        <f>ROUND(8.96*2.5*2.4,0)</f>
        <v>54</v>
      </c>
      <c r="CD17" s="688">
        <v>2.8</v>
      </c>
      <c r="CE17" s="584">
        <f>ROUND(8.96*2.5*2.8,0)</f>
        <v>63</v>
      </c>
      <c r="CF17" s="688">
        <v>3</v>
      </c>
      <c r="CG17" s="584">
        <f>ROUND(8.96*2.5*3,0)</f>
        <v>67</v>
      </c>
      <c r="CH17" s="688">
        <v>3</v>
      </c>
      <c r="CI17" s="584">
        <f>ROUND(8.96*2.5*3,0)</f>
        <v>67</v>
      </c>
      <c r="CJ17" s="688">
        <v>3</v>
      </c>
      <c r="CK17" s="584">
        <f>ROUND(8.96*2.5*3,0)</f>
        <v>67</v>
      </c>
      <c r="CL17" s="688">
        <v>2.8</v>
      </c>
      <c r="CM17" s="584">
        <f>ROUND(8.96*2.5*2.8,0)</f>
        <v>63</v>
      </c>
      <c r="CN17" s="688">
        <v>2.6</v>
      </c>
      <c r="CO17" s="584">
        <f>ROUND(8.96*2.5*2.6,0)</f>
        <v>58</v>
      </c>
      <c r="CP17" s="688">
        <v>2.4</v>
      </c>
      <c r="CQ17" s="584">
        <f>ROUND(8.96*2.5*2.4,0)</f>
        <v>54</v>
      </c>
      <c r="CR17" s="688">
        <v>2</v>
      </c>
      <c r="CS17" s="584">
        <f>ROUND(8.96*2.5*2,0)</f>
        <v>45</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247</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1.1000000000000001</v>
      </c>
      <c r="ED17" s="584">
        <f>ROUND(8.96*2.5*1.1,0)</f>
        <v>25</v>
      </c>
      <c r="EE17" s="688">
        <v>1.6</v>
      </c>
      <c r="EF17" s="584">
        <f>ROUND(8.96*2.5*1.6,0)</f>
        <v>36</v>
      </c>
      <c r="EG17" s="688">
        <v>2</v>
      </c>
      <c r="EH17" s="584">
        <f>ROUND(8.96*2.5*2,0)</f>
        <v>45</v>
      </c>
      <c r="EI17" s="688">
        <v>2.2000000000000002</v>
      </c>
      <c r="EJ17" s="584">
        <f>ROUND(8.96*2.5*2.2,0)</f>
        <v>49</v>
      </c>
      <c r="EK17" s="688">
        <v>2.2999999999999998</v>
      </c>
      <c r="EL17" s="584">
        <f>ROUND(8.96*2.5*2.3,0)</f>
        <v>52</v>
      </c>
      <c r="EM17" s="688">
        <v>2.2000000000000002</v>
      </c>
      <c r="EN17" s="584">
        <f>ROUND(8.96*2.5*2.2,0)</f>
        <v>49</v>
      </c>
      <c r="EO17" s="688">
        <v>2</v>
      </c>
      <c r="EP17" s="584">
        <f>ROUND(8.96*2.5*2,0)</f>
        <v>45</v>
      </c>
      <c r="EQ17" s="688">
        <v>1.9</v>
      </c>
      <c r="ER17" s="584">
        <f>ROUND(8.96*2.5*1.9,0)</f>
        <v>43</v>
      </c>
      <c r="ES17" s="688">
        <v>1.5</v>
      </c>
      <c r="ET17" s="584">
        <f>ROUND(8.96*2.5*1.5,0)</f>
        <v>34</v>
      </c>
      <c r="EU17" s="688">
        <v>1.1000000000000001</v>
      </c>
      <c r="EV17" s="584">
        <f>ROUND(8.96*2.5*1.1,0)</f>
        <v>25</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247</v>
      </c>
      <c r="FL17" s="684"/>
      <c r="FM17" s="580">
        <v>8.9600000000000009</v>
      </c>
      <c r="FN17" s="685">
        <v>2.5</v>
      </c>
      <c r="FO17" s="686"/>
      <c r="FP17" s="689">
        <v>9</v>
      </c>
      <c r="FQ17" s="690">
        <v>8</v>
      </c>
      <c r="FR17" s="584">
        <f>ROUND(8.96*2.5*8,0)</f>
        <v>179</v>
      </c>
      <c r="FS17" s="691">
        <v>9</v>
      </c>
      <c r="FT17" s="690">
        <v>8.1999999999999993</v>
      </c>
      <c r="FU17" s="589">
        <f>ROUND(8.96*2.5*8.2,0)</f>
        <v>184</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235</v>
      </c>
      <c r="C18" s="684"/>
      <c r="D18" s="580">
        <v>13.2</v>
      </c>
      <c r="E18" s="685">
        <v>0.5</v>
      </c>
      <c r="F18" s="686"/>
      <c r="G18" s="687">
        <v>0</v>
      </c>
      <c r="H18" s="584">
        <f>ROUND(13.2*0.5*0,0)</f>
        <v>0</v>
      </c>
      <c r="I18" s="688">
        <v>0</v>
      </c>
      <c r="J18" s="584">
        <f>ROUND(13.2*0.5*0,0)</f>
        <v>0</v>
      </c>
      <c r="K18" s="688">
        <v>0</v>
      </c>
      <c r="L18" s="584">
        <f>ROUND(13.2*0.5*0,0)</f>
        <v>0</v>
      </c>
      <c r="M18" s="688">
        <v>0</v>
      </c>
      <c r="N18" s="584">
        <f>ROUND(13.2*0.5*0,0)</f>
        <v>0</v>
      </c>
      <c r="O18" s="688">
        <v>0</v>
      </c>
      <c r="P18" s="584">
        <f>ROUND(13.2*0.5*0,0)</f>
        <v>0</v>
      </c>
      <c r="Q18" s="688">
        <v>0</v>
      </c>
      <c r="R18" s="584">
        <f>ROUND(13.2*0.5*0,0)</f>
        <v>0</v>
      </c>
      <c r="S18" s="688">
        <v>0</v>
      </c>
      <c r="T18" s="584">
        <f>ROUND(13.2*0.5*0,0)</f>
        <v>0</v>
      </c>
      <c r="U18" s="688">
        <v>0</v>
      </c>
      <c r="V18" s="584">
        <f>ROUND(13.2*0.5*0,0)</f>
        <v>0</v>
      </c>
      <c r="W18" s="688">
        <v>5.3</v>
      </c>
      <c r="X18" s="584">
        <f>ROUND(13.2*0.5*5.3,0)</f>
        <v>35</v>
      </c>
      <c r="Y18" s="688">
        <v>5.2</v>
      </c>
      <c r="Z18" s="584">
        <f>ROUND(13.2*0.5*5.2,0)</f>
        <v>34</v>
      </c>
      <c r="AA18" s="688">
        <v>5.2</v>
      </c>
      <c r="AB18" s="584">
        <f>ROUND(13.2*0.5*5.2,0)</f>
        <v>34</v>
      </c>
      <c r="AC18" s="688">
        <v>5.3</v>
      </c>
      <c r="AD18" s="584">
        <f>ROUND(13.2*0.5*5.3,0)</f>
        <v>35</v>
      </c>
      <c r="AE18" s="688">
        <v>5.7</v>
      </c>
      <c r="AF18" s="584">
        <f>ROUND(13.2*0.5*5.7,0)</f>
        <v>38</v>
      </c>
      <c r="AG18" s="688">
        <v>6.3</v>
      </c>
      <c r="AH18" s="584">
        <f>ROUND(13.2*0.5*6.3,0)</f>
        <v>42</v>
      </c>
      <c r="AI18" s="688">
        <v>7</v>
      </c>
      <c r="AJ18" s="584">
        <f>ROUND(13.2*0.5*7,0)</f>
        <v>46</v>
      </c>
      <c r="AK18" s="688">
        <v>7.8</v>
      </c>
      <c r="AL18" s="584">
        <f>ROUND(13.2*0.5*7.8,0)</f>
        <v>51</v>
      </c>
      <c r="AM18" s="688">
        <v>8.6</v>
      </c>
      <c r="AN18" s="584">
        <f>ROUND(13.2*0.5*8.6,0)</f>
        <v>57</v>
      </c>
      <c r="AO18" s="688">
        <v>9.4</v>
      </c>
      <c r="AP18" s="584">
        <f>ROUND(13.2*0.5*9.4,0)</f>
        <v>62</v>
      </c>
      <c r="AQ18" s="688">
        <v>0</v>
      </c>
      <c r="AR18" s="584">
        <f>ROUND(13.2*0.5*0,0)</f>
        <v>0</v>
      </c>
      <c r="AS18" s="688">
        <v>0</v>
      </c>
      <c r="AT18" s="584">
        <f>ROUND(13.2*0.5*0,0)</f>
        <v>0</v>
      </c>
      <c r="AU18" s="688">
        <v>0</v>
      </c>
      <c r="AV18" s="584">
        <f>ROUND(13.2*0.5*0,0)</f>
        <v>0</v>
      </c>
      <c r="AW18" s="688">
        <v>0</v>
      </c>
      <c r="AX18" s="584">
        <f>ROUND(13.2*0.5*0,0)</f>
        <v>0</v>
      </c>
      <c r="AY18" s="688">
        <v>0</v>
      </c>
      <c r="AZ18" s="584">
        <f>ROUND(13.2*0.5*0,0)</f>
        <v>0</v>
      </c>
      <c r="BA18" s="688">
        <v>0</v>
      </c>
      <c r="BB18" s="586">
        <f>ROUND(13.2*0.5*0,0)</f>
        <v>0</v>
      </c>
      <c r="BC18" s="559"/>
      <c r="BD18" s="549"/>
      <c r="BE18" s="693" t="s">
        <v>235</v>
      </c>
      <c r="BF18" s="684"/>
      <c r="BG18" s="580">
        <v>13.2</v>
      </c>
      <c r="BH18" s="685">
        <v>0.5</v>
      </c>
      <c r="BI18" s="686"/>
      <c r="BJ18" s="687">
        <v>0</v>
      </c>
      <c r="BK18" s="584">
        <f>ROUND(13.2*0.5*0,0)</f>
        <v>0</v>
      </c>
      <c r="BL18" s="688">
        <v>0</v>
      </c>
      <c r="BM18" s="584">
        <f>ROUND(13.2*0.5*0,0)</f>
        <v>0</v>
      </c>
      <c r="BN18" s="688">
        <v>0</v>
      </c>
      <c r="BO18" s="584">
        <f>ROUND(13.2*0.5*0,0)</f>
        <v>0</v>
      </c>
      <c r="BP18" s="688">
        <v>0</v>
      </c>
      <c r="BQ18" s="584">
        <f>ROUND(13.2*0.5*0,0)</f>
        <v>0</v>
      </c>
      <c r="BR18" s="688">
        <v>0</v>
      </c>
      <c r="BS18" s="584">
        <f>ROUND(13.2*0.5*0,0)</f>
        <v>0</v>
      </c>
      <c r="BT18" s="688">
        <v>0</v>
      </c>
      <c r="BU18" s="584">
        <f>ROUND(13.2*0.5*0,0)</f>
        <v>0</v>
      </c>
      <c r="BV18" s="688">
        <v>0</v>
      </c>
      <c r="BW18" s="584">
        <f>ROUND(13.2*0.5*0,0)</f>
        <v>0</v>
      </c>
      <c r="BX18" s="688">
        <v>0</v>
      </c>
      <c r="BY18" s="584">
        <f>ROUND(13.2*0.5*0,0)</f>
        <v>0</v>
      </c>
      <c r="BZ18" s="688">
        <v>5.2</v>
      </c>
      <c r="CA18" s="584">
        <f>ROUND(13.2*0.5*5.2,0)</f>
        <v>34</v>
      </c>
      <c r="CB18" s="688">
        <v>5</v>
      </c>
      <c r="CC18" s="584">
        <f>ROUND(13.2*0.5*5,0)</f>
        <v>33</v>
      </c>
      <c r="CD18" s="688">
        <v>5</v>
      </c>
      <c r="CE18" s="584">
        <f>ROUND(13.2*0.5*5,0)</f>
        <v>33</v>
      </c>
      <c r="CF18" s="688">
        <v>5.0999999999999996</v>
      </c>
      <c r="CG18" s="584">
        <f>ROUND(13.2*0.5*5.1,0)</f>
        <v>34</v>
      </c>
      <c r="CH18" s="688">
        <v>5.4</v>
      </c>
      <c r="CI18" s="584">
        <f>ROUND(13.2*0.5*5.4,0)</f>
        <v>36</v>
      </c>
      <c r="CJ18" s="688">
        <v>6</v>
      </c>
      <c r="CK18" s="584">
        <f>ROUND(13.2*0.5*6,0)</f>
        <v>40</v>
      </c>
      <c r="CL18" s="688">
        <v>6.8</v>
      </c>
      <c r="CM18" s="584">
        <f>ROUND(13.2*0.5*6.8,0)</f>
        <v>45</v>
      </c>
      <c r="CN18" s="688">
        <v>7.8</v>
      </c>
      <c r="CO18" s="584">
        <f>ROUND(13.2*0.5*7.8,0)</f>
        <v>51</v>
      </c>
      <c r="CP18" s="688">
        <v>8.6999999999999993</v>
      </c>
      <c r="CQ18" s="584">
        <f>ROUND(13.2*0.5*8.7,0)</f>
        <v>57</v>
      </c>
      <c r="CR18" s="688">
        <v>9.6</v>
      </c>
      <c r="CS18" s="584">
        <f>ROUND(13.2*0.5*9.6,0)</f>
        <v>63</v>
      </c>
      <c r="CT18" s="688">
        <v>0</v>
      </c>
      <c r="CU18" s="584">
        <f>ROUND(13.2*0.5*0,0)</f>
        <v>0</v>
      </c>
      <c r="CV18" s="688">
        <v>0</v>
      </c>
      <c r="CW18" s="584">
        <f>ROUND(13.2*0.5*0,0)</f>
        <v>0</v>
      </c>
      <c r="CX18" s="688">
        <v>0</v>
      </c>
      <c r="CY18" s="584">
        <f>ROUND(13.2*0.5*0,0)</f>
        <v>0</v>
      </c>
      <c r="CZ18" s="688">
        <v>0</v>
      </c>
      <c r="DA18" s="584">
        <f>ROUND(13.2*0.5*0,0)</f>
        <v>0</v>
      </c>
      <c r="DB18" s="688">
        <v>0</v>
      </c>
      <c r="DC18" s="584">
        <f>ROUND(13.2*0.5*0,0)</f>
        <v>0</v>
      </c>
      <c r="DD18" s="688">
        <v>0</v>
      </c>
      <c r="DE18" s="586">
        <f>ROUND(13.2*0.5*0,0)</f>
        <v>0</v>
      </c>
      <c r="DF18" s="559"/>
      <c r="DG18" s="549"/>
      <c r="DH18" s="693" t="s">
        <v>235</v>
      </c>
      <c r="DI18" s="684"/>
      <c r="DJ18" s="580">
        <v>13.2</v>
      </c>
      <c r="DK18" s="685">
        <v>0.5</v>
      </c>
      <c r="DL18" s="686"/>
      <c r="DM18" s="687">
        <v>0</v>
      </c>
      <c r="DN18" s="584">
        <f>ROUND(13.2*0.5*0,0)</f>
        <v>0</v>
      </c>
      <c r="DO18" s="688">
        <v>0</v>
      </c>
      <c r="DP18" s="584">
        <f>ROUND(13.2*0.5*0,0)</f>
        <v>0</v>
      </c>
      <c r="DQ18" s="688">
        <v>0</v>
      </c>
      <c r="DR18" s="584">
        <f>ROUND(13.2*0.5*0,0)</f>
        <v>0</v>
      </c>
      <c r="DS18" s="688">
        <v>0</v>
      </c>
      <c r="DT18" s="584">
        <f>ROUND(13.2*0.5*0,0)</f>
        <v>0</v>
      </c>
      <c r="DU18" s="688">
        <v>0</v>
      </c>
      <c r="DV18" s="584">
        <f>ROUND(13.2*0.5*0,0)</f>
        <v>0</v>
      </c>
      <c r="DW18" s="688">
        <v>0</v>
      </c>
      <c r="DX18" s="584">
        <f>ROUND(13.2*0.5*0,0)</f>
        <v>0</v>
      </c>
      <c r="DY18" s="688">
        <v>0</v>
      </c>
      <c r="DZ18" s="584">
        <f>ROUND(13.2*0.5*0,0)</f>
        <v>0</v>
      </c>
      <c r="EA18" s="688">
        <v>0</v>
      </c>
      <c r="EB18" s="584">
        <f>ROUND(13.2*0.5*0,0)</f>
        <v>0</v>
      </c>
      <c r="EC18" s="688">
        <v>3.8</v>
      </c>
      <c r="ED18" s="584">
        <f>ROUND(13.2*0.5*3.8,0)</f>
        <v>25</v>
      </c>
      <c r="EE18" s="688">
        <v>3.5</v>
      </c>
      <c r="EF18" s="584">
        <f>ROUND(13.2*0.5*3.5,0)</f>
        <v>23</v>
      </c>
      <c r="EG18" s="688">
        <v>3.4</v>
      </c>
      <c r="EH18" s="584">
        <f>ROUND(13.2*0.5*3.4,0)</f>
        <v>22</v>
      </c>
      <c r="EI18" s="688">
        <v>3.6</v>
      </c>
      <c r="EJ18" s="584">
        <f>ROUND(13.2*0.5*3.6,0)</f>
        <v>24</v>
      </c>
      <c r="EK18" s="688">
        <v>4.0999999999999996</v>
      </c>
      <c r="EL18" s="584">
        <f>ROUND(13.2*0.5*4.1,0)</f>
        <v>27</v>
      </c>
      <c r="EM18" s="688">
        <v>4.9000000000000004</v>
      </c>
      <c r="EN18" s="584">
        <f>ROUND(13.2*0.5*4.9,0)</f>
        <v>32</v>
      </c>
      <c r="EO18" s="688">
        <v>6</v>
      </c>
      <c r="EP18" s="584">
        <f>ROUND(13.2*0.5*6,0)</f>
        <v>40</v>
      </c>
      <c r="EQ18" s="688">
        <v>7.3</v>
      </c>
      <c r="ER18" s="584">
        <f>ROUND(13.2*0.5*7.3,0)</f>
        <v>48</v>
      </c>
      <c r="ES18" s="688">
        <v>8.5</v>
      </c>
      <c r="ET18" s="584">
        <f>ROUND(13.2*0.5*8.5,0)</f>
        <v>56</v>
      </c>
      <c r="EU18" s="688">
        <v>9.6</v>
      </c>
      <c r="EV18" s="584">
        <f>ROUND(13.2*0.5*9.6,0)</f>
        <v>63</v>
      </c>
      <c r="EW18" s="688">
        <v>0</v>
      </c>
      <c r="EX18" s="584">
        <f>ROUND(13.2*0.5*0,0)</f>
        <v>0</v>
      </c>
      <c r="EY18" s="688">
        <v>0</v>
      </c>
      <c r="EZ18" s="584">
        <f>ROUND(13.2*0.5*0,0)</f>
        <v>0</v>
      </c>
      <c r="FA18" s="688">
        <v>0</v>
      </c>
      <c r="FB18" s="584">
        <f>ROUND(13.2*0.5*0,0)</f>
        <v>0</v>
      </c>
      <c r="FC18" s="688">
        <v>0</v>
      </c>
      <c r="FD18" s="584">
        <f>ROUND(13.2*0.5*0,0)</f>
        <v>0</v>
      </c>
      <c r="FE18" s="688">
        <v>0</v>
      </c>
      <c r="FF18" s="584">
        <f>ROUND(13.2*0.5*0,0)</f>
        <v>0</v>
      </c>
      <c r="FG18" s="688">
        <v>0</v>
      </c>
      <c r="FH18" s="586">
        <f>ROUND(13.2*0.5*0,0)</f>
        <v>0</v>
      </c>
      <c r="FI18" s="560"/>
      <c r="FJ18" s="561"/>
      <c r="FK18" s="693" t="s">
        <v>235</v>
      </c>
      <c r="FL18" s="684"/>
      <c r="FM18" s="580">
        <v>13.2</v>
      </c>
      <c r="FN18" s="685">
        <v>0.5</v>
      </c>
      <c r="FO18" s="686"/>
      <c r="FP18" s="689">
        <v>9</v>
      </c>
      <c r="FQ18" s="690">
        <v>20</v>
      </c>
      <c r="FR18" s="584">
        <f>ROUND(13.2*0.5*20,0)</f>
        <v>132</v>
      </c>
      <c r="FS18" s="691">
        <v>9</v>
      </c>
      <c r="FT18" s="690">
        <v>20.5</v>
      </c>
      <c r="FU18" s="589">
        <f>ROUND(13.2*0.5*20.5,0)</f>
        <v>135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258</v>
      </c>
      <c r="C19" s="684"/>
      <c r="D19" s="580">
        <v>13.2</v>
      </c>
      <c r="E19" s="685">
        <v>2.8</v>
      </c>
      <c r="F19" s="686"/>
      <c r="G19" s="687">
        <v>0</v>
      </c>
      <c r="H19" s="584">
        <f>ROUND(13.2*2.8*0,0)</f>
        <v>0</v>
      </c>
      <c r="I19" s="688">
        <v>0</v>
      </c>
      <c r="J19" s="584">
        <f>ROUND(13.2*2.8*0,0)</f>
        <v>0</v>
      </c>
      <c r="K19" s="688">
        <v>0</v>
      </c>
      <c r="L19" s="584">
        <f>ROUND(13.2*2.8*0,0)</f>
        <v>0</v>
      </c>
      <c r="M19" s="688">
        <v>0</v>
      </c>
      <c r="N19" s="584">
        <f>ROUND(13.2*2.8*0,0)</f>
        <v>0</v>
      </c>
      <c r="O19" s="688">
        <v>0</v>
      </c>
      <c r="P19" s="584">
        <f>ROUND(13.2*2.8*0,0)</f>
        <v>0</v>
      </c>
      <c r="Q19" s="688">
        <v>0</v>
      </c>
      <c r="R19" s="584">
        <f>ROUND(13.2*2.8*0,0)</f>
        <v>0</v>
      </c>
      <c r="S19" s="688">
        <v>0</v>
      </c>
      <c r="T19" s="584">
        <f>ROUND(13.2*2.8*0,0)</f>
        <v>0</v>
      </c>
      <c r="U19" s="688">
        <v>0</v>
      </c>
      <c r="V19" s="584">
        <f>ROUND(13.2*2.8*0,0)</f>
        <v>0</v>
      </c>
      <c r="W19" s="688">
        <v>1.6</v>
      </c>
      <c r="X19" s="584">
        <f>ROUND(13.2*2.8*1.6,0)</f>
        <v>59</v>
      </c>
      <c r="Y19" s="688">
        <v>2</v>
      </c>
      <c r="Z19" s="584">
        <f>ROUND(13.2*2.8*2,0)</f>
        <v>74</v>
      </c>
      <c r="AA19" s="688">
        <v>2.2000000000000002</v>
      </c>
      <c r="AB19" s="584">
        <f>ROUND(13.2*2.8*2.2,0)</f>
        <v>81</v>
      </c>
      <c r="AC19" s="688">
        <v>2.2999999999999998</v>
      </c>
      <c r="AD19" s="584">
        <f>ROUND(13.2*2.8*2.3,0)</f>
        <v>85</v>
      </c>
      <c r="AE19" s="688">
        <v>2.4</v>
      </c>
      <c r="AF19" s="584">
        <f>ROUND(13.2*2.8*2.4,0)</f>
        <v>89</v>
      </c>
      <c r="AG19" s="688">
        <v>2.4</v>
      </c>
      <c r="AH19" s="584">
        <f>ROUND(13.2*2.8*2.4,0)</f>
        <v>89</v>
      </c>
      <c r="AI19" s="688">
        <v>2.2000000000000002</v>
      </c>
      <c r="AJ19" s="584">
        <f>ROUND(13.2*2.8*2.2,0)</f>
        <v>81</v>
      </c>
      <c r="AK19" s="688">
        <v>2.1</v>
      </c>
      <c r="AL19" s="584">
        <f>ROUND(13.2*2.8*2.1,0)</f>
        <v>78</v>
      </c>
      <c r="AM19" s="688">
        <v>1.8</v>
      </c>
      <c r="AN19" s="584">
        <f>ROUND(13.2*2.8*1.8,0)</f>
        <v>67</v>
      </c>
      <c r="AO19" s="688">
        <v>1.6</v>
      </c>
      <c r="AP19" s="584">
        <f>ROUND(13.2*2.8*1.6,0)</f>
        <v>59</v>
      </c>
      <c r="AQ19" s="688">
        <v>0</v>
      </c>
      <c r="AR19" s="584">
        <f>ROUND(13.2*2.8*0,0)</f>
        <v>0</v>
      </c>
      <c r="AS19" s="688">
        <v>0</v>
      </c>
      <c r="AT19" s="584">
        <f>ROUND(13.2*2.8*0,0)</f>
        <v>0</v>
      </c>
      <c r="AU19" s="688">
        <v>0</v>
      </c>
      <c r="AV19" s="584">
        <f>ROUND(13.2*2.8*0,0)</f>
        <v>0</v>
      </c>
      <c r="AW19" s="688">
        <v>0</v>
      </c>
      <c r="AX19" s="584">
        <f>ROUND(13.2*2.8*0,0)</f>
        <v>0</v>
      </c>
      <c r="AY19" s="688">
        <v>0</v>
      </c>
      <c r="AZ19" s="584">
        <f>ROUND(13.2*2.8*0,0)</f>
        <v>0</v>
      </c>
      <c r="BA19" s="688">
        <v>0</v>
      </c>
      <c r="BB19" s="586">
        <f>ROUND(13.2*2.8*0,0)</f>
        <v>0</v>
      </c>
      <c r="BC19" s="559"/>
      <c r="BD19" s="549"/>
      <c r="BE19" s="693" t="s">
        <v>258</v>
      </c>
      <c r="BF19" s="684"/>
      <c r="BG19" s="580">
        <v>13.2</v>
      </c>
      <c r="BH19" s="685">
        <v>2.8</v>
      </c>
      <c r="BI19" s="686"/>
      <c r="BJ19" s="687">
        <v>0</v>
      </c>
      <c r="BK19" s="584">
        <f>ROUND(13.2*2.8*0,0)</f>
        <v>0</v>
      </c>
      <c r="BL19" s="688">
        <v>0</v>
      </c>
      <c r="BM19" s="584">
        <f>ROUND(13.2*2.8*0,0)</f>
        <v>0</v>
      </c>
      <c r="BN19" s="688">
        <v>0</v>
      </c>
      <c r="BO19" s="584">
        <f>ROUND(13.2*2.8*0,0)</f>
        <v>0</v>
      </c>
      <c r="BP19" s="688">
        <v>0</v>
      </c>
      <c r="BQ19" s="584">
        <f>ROUND(13.2*2.8*0,0)</f>
        <v>0</v>
      </c>
      <c r="BR19" s="688">
        <v>0</v>
      </c>
      <c r="BS19" s="584">
        <f>ROUND(13.2*2.8*0,0)</f>
        <v>0</v>
      </c>
      <c r="BT19" s="688">
        <v>0</v>
      </c>
      <c r="BU19" s="584">
        <f>ROUND(13.2*2.8*0,0)</f>
        <v>0</v>
      </c>
      <c r="BV19" s="688">
        <v>0</v>
      </c>
      <c r="BW19" s="584">
        <f>ROUND(13.2*2.8*0,0)</f>
        <v>0</v>
      </c>
      <c r="BX19" s="688">
        <v>0</v>
      </c>
      <c r="BY19" s="584">
        <f>ROUND(13.2*2.8*0,0)</f>
        <v>0</v>
      </c>
      <c r="BZ19" s="688">
        <v>1.5</v>
      </c>
      <c r="CA19" s="584">
        <f>ROUND(13.2*2.8*1.5,0)</f>
        <v>55</v>
      </c>
      <c r="CB19" s="688">
        <v>1.8</v>
      </c>
      <c r="CC19" s="584">
        <f>ROUND(13.2*2.8*1.8,0)</f>
        <v>67</v>
      </c>
      <c r="CD19" s="688">
        <v>2.1</v>
      </c>
      <c r="CE19" s="584">
        <f>ROUND(13.2*2.8*2.1,0)</f>
        <v>78</v>
      </c>
      <c r="CF19" s="688">
        <v>2.2000000000000002</v>
      </c>
      <c r="CG19" s="584">
        <f>ROUND(13.2*2.8*2.2,0)</f>
        <v>81</v>
      </c>
      <c r="CH19" s="688">
        <v>2.2999999999999998</v>
      </c>
      <c r="CI19" s="584">
        <f>ROUND(13.2*2.8*2.3,0)</f>
        <v>85</v>
      </c>
      <c r="CJ19" s="688">
        <v>2.2000000000000002</v>
      </c>
      <c r="CK19" s="584">
        <f>ROUND(13.2*2.8*2.2,0)</f>
        <v>81</v>
      </c>
      <c r="CL19" s="688">
        <v>2.1</v>
      </c>
      <c r="CM19" s="584">
        <f>ROUND(13.2*2.8*2.1,0)</f>
        <v>78</v>
      </c>
      <c r="CN19" s="688">
        <v>2</v>
      </c>
      <c r="CO19" s="584">
        <f>ROUND(13.2*2.8*2,0)</f>
        <v>74</v>
      </c>
      <c r="CP19" s="688">
        <v>1.8</v>
      </c>
      <c r="CQ19" s="584">
        <f>ROUND(13.2*2.8*1.8,0)</f>
        <v>67</v>
      </c>
      <c r="CR19" s="688">
        <v>1.5</v>
      </c>
      <c r="CS19" s="584">
        <f>ROUND(13.2*2.8*1.5,0)</f>
        <v>55</v>
      </c>
      <c r="CT19" s="688">
        <v>0</v>
      </c>
      <c r="CU19" s="584">
        <f>ROUND(13.2*2.8*0,0)</f>
        <v>0</v>
      </c>
      <c r="CV19" s="688">
        <v>0</v>
      </c>
      <c r="CW19" s="584">
        <f>ROUND(13.2*2.8*0,0)</f>
        <v>0</v>
      </c>
      <c r="CX19" s="688">
        <v>0</v>
      </c>
      <c r="CY19" s="584">
        <f>ROUND(13.2*2.8*0,0)</f>
        <v>0</v>
      </c>
      <c r="CZ19" s="688">
        <v>0</v>
      </c>
      <c r="DA19" s="584">
        <f>ROUND(13.2*2.8*0,0)</f>
        <v>0</v>
      </c>
      <c r="DB19" s="688">
        <v>0</v>
      </c>
      <c r="DC19" s="584">
        <f>ROUND(13.2*2.8*0,0)</f>
        <v>0</v>
      </c>
      <c r="DD19" s="688">
        <v>0</v>
      </c>
      <c r="DE19" s="586">
        <f>ROUND(13.2*2.8*0,0)</f>
        <v>0</v>
      </c>
      <c r="DF19" s="559"/>
      <c r="DG19" s="549"/>
      <c r="DH19" s="693" t="s">
        <v>258</v>
      </c>
      <c r="DI19" s="684"/>
      <c r="DJ19" s="580">
        <v>13.2</v>
      </c>
      <c r="DK19" s="685">
        <v>2.8</v>
      </c>
      <c r="DL19" s="686"/>
      <c r="DM19" s="687">
        <v>0</v>
      </c>
      <c r="DN19" s="584">
        <f>ROUND(13.2*2.8*0,0)</f>
        <v>0</v>
      </c>
      <c r="DO19" s="688">
        <v>0</v>
      </c>
      <c r="DP19" s="584">
        <f>ROUND(13.2*2.8*0,0)</f>
        <v>0</v>
      </c>
      <c r="DQ19" s="688">
        <v>0</v>
      </c>
      <c r="DR19" s="584">
        <f>ROUND(13.2*2.8*0,0)</f>
        <v>0</v>
      </c>
      <c r="DS19" s="688">
        <v>0</v>
      </c>
      <c r="DT19" s="584">
        <f>ROUND(13.2*2.8*0,0)</f>
        <v>0</v>
      </c>
      <c r="DU19" s="688">
        <v>0</v>
      </c>
      <c r="DV19" s="584">
        <f>ROUND(13.2*2.8*0,0)</f>
        <v>0</v>
      </c>
      <c r="DW19" s="688">
        <v>0</v>
      </c>
      <c r="DX19" s="584">
        <f>ROUND(13.2*2.8*0,0)</f>
        <v>0</v>
      </c>
      <c r="DY19" s="688">
        <v>0</v>
      </c>
      <c r="DZ19" s="584">
        <f>ROUND(13.2*2.8*0,0)</f>
        <v>0</v>
      </c>
      <c r="EA19" s="688">
        <v>0</v>
      </c>
      <c r="EB19" s="584">
        <f>ROUND(13.2*2.8*0,0)</f>
        <v>0</v>
      </c>
      <c r="EC19" s="688">
        <v>0.8</v>
      </c>
      <c r="ED19" s="584">
        <f>ROUND(13.2*2.8*0.8,0)</f>
        <v>30</v>
      </c>
      <c r="EE19" s="688">
        <v>1.2</v>
      </c>
      <c r="EF19" s="584">
        <f>ROUND(13.2*2.8*1.2,0)</f>
        <v>44</v>
      </c>
      <c r="EG19" s="688">
        <v>1.5</v>
      </c>
      <c r="EH19" s="584">
        <f>ROUND(13.2*2.8*1.5,0)</f>
        <v>55</v>
      </c>
      <c r="EI19" s="688">
        <v>1.7</v>
      </c>
      <c r="EJ19" s="584">
        <f>ROUND(13.2*2.8*1.7,0)</f>
        <v>63</v>
      </c>
      <c r="EK19" s="688">
        <v>1.7</v>
      </c>
      <c r="EL19" s="584">
        <f>ROUND(13.2*2.8*1.7,0)</f>
        <v>63</v>
      </c>
      <c r="EM19" s="688">
        <v>1.6</v>
      </c>
      <c r="EN19" s="584">
        <f>ROUND(13.2*2.8*1.6,0)</f>
        <v>59</v>
      </c>
      <c r="EO19" s="688">
        <v>1.5</v>
      </c>
      <c r="EP19" s="584">
        <f>ROUND(13.2*2.8*1.5,0)</f>
        <v>55</v>
      </c>
      <c r="EQ19" s="688">
        <v>1.4</v>
      </c>
      <c r="ER19" s="584">
        <f>ROUND(13.2*2.8*1.4,0)</f>
        <v>52</v>
      </c>
      <c r="ES19" s="688">
        <v>1.1000000000000001</v>
      </c>
      <c r="ET19" s="584">
        <f>ROUND(13.2*2.8*1.1,0)</f>
        <v>41</v>
      </c>
      <c r="EU19" s="688">
        <v>0.8</v>
      </c>
      <c r="EV19" s="584">
        <f>ROUND(13.2*2.8*0.8,0)</f>
        <v>30</v>
      </c>
      <c r="EW19" s="688">
        <v>0</v>
      </c>
      <c r="EX19" s="584">
        <f>ROUND(13.2*2.8*0,0)</f>
        <v>0</v>
      </c>
      <c r="EY19" s="688">
        <v>0</v>
      </c>
      <c r="EZ19" s="584">
        <f>ROUND(13.2*2.8*0,0)</f>
        <v>0</v>
      </c>
      <c r="FA19" s="688">
        <v>0</v>
      </c>
      <c r="FB19" s="584">
        <f>ROUND(13.2*2.8*0,0)</f>
        <v>0</v>
      </c>
      <c r="FC19" s="688">
        <v>0</v>
      </c>
      <c r="FD19" s="584">
        <f>ROUND(13.2*2.8*0,0)</f>
        <v>0</v>
      </c>
      <c r="FE19" s="688">
        <v>0</v>
      </c>
      <c r="FF19" s="584">
        <f>ROUND(13.2*2.8*0,0)</f>
        <v>0</v>
      </c>
      <c r="FG19" s="688">
        <v>0</v>
      </c>
      <c r="FH19" s="586">
        <f>ROUND(13.2*2.8*0,0)</f>
        <v>0</v>
      </c>
      <c r="FI19" s="560"/>
      <c r="FJ19" s="561"/>
      <c r="FK19" s="693" t="s">
        <v>258</v>
      </c>
      <c r="FL19" s="684"/>
      <c r="FM19" s="580">
        <v>13.2</v>
      </c>
      <c r="FN19" s="685">
        <v>2.8</v>
      </c>
      <c r="FO19" s="686"/>
      <c r="FP19" s="689">
        <v>9</v>
      </c>
      <c r="FQ19" s="690">
        <v>6</v>
      </c>
      <c r="FR19" s="584">
        <f>ROUND(13.2*2.8*6,0)</f>
        <v>222</v>
      </c>
      <c r="FS19" s="691">
        <v>9</v>
      </c>
      <c r="FT19" s="690">
        <v>6.1</v>
      </c>
      <c r="FU19" s="589">
        <f>ROUND(13.2*2.8*6.1,0)</f>
        <v>225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c r="C20" s="684"/>
      <c r="D20" s="580"/>
      <c r="E20" s="685"/>
      <c r="F20" s="686"/>
      <c r="G20" s="687"/>
      <c r="H20" s="584"/>
      <c r="I20" s="688"/>
      <c r="J20" s="584"/>
      <c r="K20" s="688"/>
      <c r="L20" s="584"/>
      <c r="M20" s="688"/>
      <c r="N20" s="584"/>
      <c r="O20" s="688"/>
      <c r="P20" s="584"/>
      <c r="Q20" s="688"/>
      <c r="R20" s="584"/>
      <c r="S20" s="688"/>
      <c r="T20" s="584"/>
      <c r="U20" s="688"/>
      <c r="V20" s="584"/>
      <c r="W20" s="688"/>
      <c r="X20" s="584"/>
      <c r="Y20" s="688"/>
      <c r="Z20" s="584"/>
      <c r="AA20" s="688"/>
      <c r="AB20" s="584"/>
      <c r="AC20" s="688"/>
      <c r="AD20" s="584"/>
      <c r="AE20" s="688"/>
      <c r="AF20" s="584"/>
      <c r="AG20" s="688"/>
      <c r="AH20" s="584"/>
      <c r="AI20" s="688"/>
      <c r="AJ20" s="584"/>
      <c r="AK20" s="688"/>
      <c r="AL20" s="584"/>
      <c r="AM20" s="688"/>
      <c r="AN20" s="584"/>
      <c r="AO20" s="688"/>
      <c r="AP20" s="584"/>
      <c r="AQ20" s="688"/>
      <c r="AR20" s="584"/>
      <c r="AS20" s="688"/>
      <c r="AT20" s="584"/>
      <c r="AU20" s="688"/>
      <c r="AV20" s="584"/>
      <c r="AW20" s="688"/>
      <c r="AX20" s="584"/>
      <c r="AY20" s="688"/>
      <c r="AZ20" s="584"/>
      <c r="BA20" s="688"/>
      <c r="BB20" s="586"/>
      <c r="BC20" s="559"/>
      <c r="BD20" s="549"/>
      <c r="BE20" s="693"/>
      <c r="BF20" s="684"/>
      <c r="BG20" s="580"/>
      <c r="BH20" s="685"/>
      <c r="BI20" s="686"/>
      <c r="BJ20" s="687"/>
      <c r="BK20" s="584"/>
      <c r="BL20" s="688"/>
      <c r="BM20" s="584"/>
      <c r="BN20" s="688"/>
      <c r="BO20" s="584"/>
      <c r="BP20" s="688"/>
      <c r="BQ20" s="584"/>
      <c r="BR20" s="688"/>
      <c r="BS20" s="584"/>
      <c r="BT20" s="688"/>
      <c r="BU20" s="584"/>
      <c r="BV20" s="688"/>
      <c r="BW20" s="584"/>
      <c r="BX20" s="688"/>
      <c r="BY20" s="584"/>
      <c r="BZ20" s="688"/>
      <c r="CA20" s="584"/>
      <c r="CB20" s="688"/>
      <c r="CC20" s="584"/>
      <c r="CD20" s="688"/>
      <c r="CE20" s="584"/>
      <c r="CF20" s="688"/>
      <c r="CG20" s="584"/>
      <c r="CH20" s="688"/>
      <c r="CI20" s="584"/>
      <c r="CJ20" s="688"/>
      <c r="CK20" s="584"/>
      <c r="CL20" s="688"/>
      <c r="CM20" s="584"/>
      <c r="CN20" s="688"/>
      <c r="CO20" s="584"/>
      <c r="CP20" s="688"/>
      <c r="CQ20" s="584"/>
      <c r="CR20" s="688"/>
      <c r="CS20" s="584"/>
      <c r="CT20" s="688"/>
      <c r="CU20" s="584"/>
      <c r="CV20" s="688"/>
      <c r="CW20" s="584"/>
      <c r="CX20" s="688"/>
      <c r="CY20" s="584"/>
      <c r="CZ20" s="688"/>
      <c r="DA20" s="584"/>
      <c r="DB20" s="688"/>
      <c r="DC20" s="584"/>
      <c r="DD20" s="688"/>
      <c r="DE20" s="586"/>
      <c r="DF20" s="559"/>
      <c r="DG20" s="549"/>
      <c r="DH20" s="693"/>
      <c r="DI20" s="684"/>
      <c r="DJ20" s="580"/>
      <c r="DK20" s="685"/>
      <c r="DL20" s="686"/>
      <c r="DM20" s="687"/>
      <c r="DN20" s="584"/>
      <c r="DO20" s="688"/>
      <c r="DP20" s="584"/>
      <c r="DQ20" s="688"/>
      <c r="DR20" s="584"/>
      <c r="DS20" s="688"/>
      <c r="DT20" s="584"/>
      <c r="DU20" s="688"/>
      <c r="DV20" s="584"/>
      <c r="DW20" s="688"/>
      <c r="DX20" s="584"/>
      <c r="DY20" s="688"/>
      <c r="DZ20" s="584"/>
      <c r="EA20" s="688"/>
      <c r="EB20" s="584"/>
      <c r="EC20" s="688"/>
      <c r="ED20" s="584"/>
      <c r="EE20" s="688"/>
      <c r="EF20" s="584"/>
      <c r="EG20" s="688"/>
      <c r="EH20" s="584"/>
      <c r="EI20" s="688"/>
      <c r="EJ20" s="584"/>
      <c r="EK20" s="688"/>
      <c r="EL20" s="584"/>
      <c r="EM20" s="688"/>
      <c r="EN20" s="584"/>
      <c r="EO20" s="688"/>
      <c r="EP20" s="584"/>
      <c r="EQ20" s="688"/>
      <c r="ER20" s="584"/>
      <c r="ES20" s="688"/>
      <c r="ET20" s="584"/>
      <c r="EU20" s="688"/>
      <c r="EV20" s="584"/>
      <c r="EW20" s="688"/>
      <c r="EX20" s="584"/>
      <c r="EY20" s="688"/>
      <c r="EZ20" s="584"/>
      <c r="FA20" s="688"/>
      <c r="FB20" s="584"/>
      <c r="FC20" s="688"/>
      <c r="FD20" s="584"/>
      <c r="FE20" s="688"/>
      <c r="FF20" s="584"/>
      <c r="FG20" s="688"/>
      <c r="FH20" s="586"/>
      <c r="FI20" s="560"/>
      <c r="FJ20" s="561"/>
      <c r="FK20" s="693"/>
      <c r="FL20" s="684"/>
      <c r="FM20" s="580"/>
      <c r="FN20" s="685"/>
      <c r="FO20" s="686"/>
      <c r="FP20" s="689"/>
      <c r="FQ20" s="690"/>
      <c r="FR20" s="584"/>
      <c r="FS20" s="691"/>
      <c r="FT20" s="690"/>
      <c r="FU20" s="589"/>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455</v>
      </c>
      <c r="GL21" s="695"/>
      <c r="GM21" s="696"/>
      <c r="GN21" s="635">
        <v>0</v>
      </c>
      <c r="GO21" s="697"/>
      <c r="GP21" s="698"/>
      <c r="GQ21" s="630">
        <v>0</v>
      </c>
      <c r="GR21" s="631">
        <v>0</v>
      </c>
      <c r="GS21" s="575"/>
      <c r="GT21" s="670"/>
      <c r="GU21" s="694" t="s">
        <v>455</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456</v>
      </c>
      <c r="GL22" s="705"/>
      <c r="GM22" s="705"/>
      <c r="GN22" s="706"/>
      <c r="GO22" s="630">
        <v>0</v>
      </c>
      <c r="GP22" s="630">
        <v>1</v>
      </c>
      <c r="GQ22" s="707"/>
      <c r="GR22" s="708"/>
      <c r="GS22" s="575"/>
      <c r="GT22" s="670"/>
      <c r="GU22" s="704" t="s">
        <v>456</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457</v>
      </c>
      <c r="GL23" s="606"/>
      <c r="GM23" s="711"/>
      <c r="GN23" s="712">
        <v>13.2</v>
      </c>
      <c r="GO23" s="497" t="s">
        <v>458</v>
      </c>
      <c r="GP23" s="712"/>
      <c r="GQ23" s="606"/>
      <c r="GR23" s="612"/>
      <c r="GS23" s="575"/>
      <c r="GT23" s="670"/>
      <c r="GU23" s="606"/>
      <c r="GV23" s="527"/>
      <c r="GW23" s="606"/>
      <c r="GX23" s="606"/>
      <c r="GY23" s="713"/>
      <c r="GZ23" s="714"/>
      <c r="HA23" s="414"/>
      <c r="HB23" s="714" t="s">
        <v>459</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460</v>
      </c>
      <c r="GL24" s="606"/>
      <c r="GM24" s="711"/>
      <c r="GN24" s="712">
        <v>0</v>
      </c>
      <c r="GO24" s="712"/>
      <c r="GP24" s="712"/>
      <c r="GQ24" s="606"/>
      <c r="GR24" s="612"/>
      <c r="GS24" s="606"/>
      <c r="GT24" s="670"/>
      <c r="GU24" s="577" t="s">
        <v>461</v>
      </c>
      <c r="GV24" s="606"/>
      <c r="GW24" s="606"/>
      <c r="GX24" s="414"/>
      <c r="GY24" s="715">
        <v>614</v>
      </c>
      <c r="GZ24" s="577" t="s">
        <v>462</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463</v>
      </c>
      <c r="GV25" s="606"/>
      <c r="GW25" s="606"/>
      <c r="GX25" s="414"/>
      <c r="GY25" s="726">
        <v>1</v>
      </c>
      <c r="GZ25" s="577"/>
      <c r="HA25" s="527"/>
      <c r="HB25" s="527"/>
      <c r="HC25" s="527"/>
      <c r="HD25" s="559"/>
      <c r="HE25" s="559"/>
      <c r="HF25" s="416"/>
      <c r="HG25" s="416"/>
    </row>
    <row r="26" spans="1:218" ht="20.100000000000001" customHeight="1">
      <c r="A26" s="638"/>
      <c r="B26" s="639"/>
      <c r="C26" s="639"/>
      <c r="D26" s="639" t="s">
        <v>528</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224</v>
      </c>
      <c r="Y26" s="728"/>
      <c r="Z26" s="642">
        <f>SUM(Z16:Z25)</f>
        <v>270</v>
      </c>
      <c r="AA26" s="728"/>
      <c r="AB26" s="642">
        <f>SUM(AB16:AB25)</f>
        <v>294</v>
      </c>
      <c r="AC26" s="728"/>
      <c r="AD26" s="642">
        <f>SUM(AD16:AD25)</f>
        <v>308</v>
      </c>
      <c r="AE26" s="728"/>
      <c r="AF26" s="642">
        <f>SUM(AF16:AF25)</f>
        <v>323</v>
      </c>
      <c r="AG26" s="728"/>
      <c r="AH26" s="642">
        <f>SUM(AH16:AH25)</f>
        <v>327</v>
      </c>
      <c r="AI26" s="728"/>
      <c r="AJ26" s="642">
        <f>SUM(AJ16:AJ25)</f>
        <v>308</v>
      </c>
      <c r="AK26" s="728"/>
      <c r="AL26" s="642">
        <f>SUM(AL16:AL25)</f>
        <v>301</v>
      </c>
      <c r="AM26" s="728"/>
      <c r="AN26" s="642">
        <f>SUM(AN16:AN25)</f>
        <v>271</v>
      </c>
      <c r="AO26" s="728"/>
      <c r="AP26" s="642">
        <f>SUM(AP16:AP25)</f>
        <v>251</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529</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212</v>
      </c>
      <c r="CB26" s="728"/>
      <c r="CC26" s="642">
        <f>SUM(CC16:CC25)</f>
        <v>247</v>
      </c>
      <c r="CD26" s="728"/>
      <c r="CE26" s="642">
        <f>SUM(CE16:CE25)</f>
        <v>283</v>
      </c>
      <c r="CF26" s="728"/>
      <c r="CG26" s="642">
        <f>SUM(CG16:CG25)</f>
        <v>296</v>
      </c>
      <c r="CH26" s="728"/>
      <c r="CI26" s="642">
        <f>SUM(CI16:CI25)</f>
        <v>307</v>
      </c>
      <c r="CJ26" s="728"/>
      <c r="CK26" s="642">
        <f>SUM(CK16:CK25)</f>
        <v>302</v>
      </c>
      <c r="CL26" s="728"/>
      <c r="CM26" s="642">
        <f>SUM(CM16:CM25)</f>
        <v>295</v>
      </c>
      <c r="CN26" s="728"/>
      <c r="CO26" s="642">
        <f>SUM(CO16:CO25)</f>
        <v>287</v>
      </c>
      <c r="CP26" s="728"/>
      <c r="CQ26" s="642">
        <f>SUM(CQ16:CQ25)</f>
        <v>271</v>
      </c>
      <c r="CR26" s="728"/>
      <c r="CS26" s="642">
        <f>SUM(CS16:CS25)</f>
        <v>241</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529</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121</v>
      </c>
      <c r="EE26" s="728"/>
      <c r="EF26" s="642">
        <f>SUM(EF16:EF25)</f>
        <v>165</v>
      </c>
      <c r="EG26" s="728"/>
      <c r="EH26" s="642">
        <f>SUM(EH16:EH25)</f>
        <v>200</v>
      </c>
      <c r="EI26" s="728"/>
      <c r="EJ26" s="642">
        <f>SUM(EJ16:EJ25)</f>
        <v>224</v>
      </c>
      <c r="EK26" s="728"/>
      <c r="EL26" s="642">
        <f>SUM(EL16:EL25)</f>
        <v>230</v>
      </c>
      <c r="EM26" s="728"/>
      <c r="EN26" s="642">
        <f>SUM(EN16:EN25)</f>
        <v>223</v>
      </c>
      <c r="EO26" s="728"/>
      <c r="EP26" s="642">
        <f>SUM(EP16:EP25)</f>
        <v>218</v>
      </c>
      <c r="EQ26" s="728"/>
      <c r="ER26" s="642">
        <f>SUM(ER16:ER25)</f>
        <v>216</v>
      </c>
      <c r="ES26" s="728"/>
      <c r="ET26" s="642">
        <f>SUM(ET16:ET25)</f>
        <v>188</v>
      </c>
      <c r="EU26" s="728"/>
      <c r="EV26" s="642">
        <f>SUM(EV16:EV25)</f>
        <v>159</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317</v>
      </c>
      <c r="FN26" s="639"/>
      <c r="FO26" s="639"/>
      <c r="FP26" s="647"/>
      <c r="FQ26" s="648"/>
      <c r="FR26" s="642">
        <f>SUM(FR16:FR25)</f>
        <v>844</v>
      </c>
      <c r="FS26" s="729"/>
      <c r="FT26" s="648"/>
      <c r="FU26" s="650">
        <f>SUM(FU16:FU25)</f>
        <v>860</v>
      </c>
      <c r="FV26" s="590"/>
      <c r="FW26" s="591"/>
      <c r="FX26" s="592"/>
      <c r="FY26" s="593"/>
      <c r="FZ26" s="594"/>
      <c r="GA26" s="595"/>
      <c r="GB26" s="596"/>
      <c r="GC26" s="597"/>
      <c r="GD26" s="596"/>
      <c r="GE26" s="598"/>
      <c r="GF26" s="651"/>
      <c r="GG26" s="652"/>
      <c r="GH26" s="652"/>
      <c r="GI26" s="652"/>
      <c r="GJ26" s="612"/>
      <c r="GK26" s="527" t="s">
        <v>464</v>
      </c>
      <c r="GL26" s="612"/>
      <c r="GM26" s="527"/>
      <c r="GN26" s="612"/>
      <c r="GO26" s="527"/>
      <c r="GP26" s="612"/>
      <c r="GQ26" s="612"/>
      <c r="GR26" s="612"/>
      <c r="GS26" s="576"/>
      <c r="GT26" s="670"/>
      <c r="GU26" s="577" t="s">
        <v>465</v>
      </c>
      <c r="GV26" s="606"/>
      <c r="GW26" s="606"/>
      <c r="GX26" s="414"/>
      <c r="GY26" s="726">
        <v>0</v>
      </c>
      <c r="GZ26" s="577"/>
      <c r="HA26" s="527"/>
      <c r="HB26" s="527"/>
      <c r="HC26" s="527"/>
      <c r="HD26" s="645"/>
      <c r="HE26" s="416"/>
      <c r="HF26" s="416"/>
      <c r="HG26" s="577"/>
      <c r="HH26" s="645"/>
      <c r="HI26" s="416"/>
      <c r="HJ26" s="416"/>
    </row>
    <row r="27" spans="1:218" ht="20.100000000000001" customHeight="1">
      <c r="A27" s="730" t="s">
        <v>539</v>
      </c>
      <c r="B27" s="731"/>
      <c r="C27" s="732"/>
      <c r="D27" s="660"/>
      <c r="E27" s="732"/>
      <c r="F27" s="732"/>
      <c r="G27" s="733" t="s">
        <v>392</v>
      </c>
      <c r="H27" s="660" t="s">
        <v>393</v>
      </c>
      <c r="I27" s="734" t="s">
        <v>392</v>
      </c>
      <c r="J27" s="660" t="s">
        <v>393</v>
      </c>
      <c r="K27" s="735" t="s">
        <v>392</v>
      </c>
      <c r="L27" s="660" t="s">
        <v>393</v>
      </c>
      <c r="M27" s="735" t="s">
        <v>392</v>
      </c>
      <c r="N27" s="660" t="s">
        <v>393</v>
      </c>
      <c r="O27" s="735" t="s">
        <v>392</v>
      </c>
      <c r="P27" s="660" t="s">
        <v>393</v>
      </c>
      <c r="Q27" s="735" t="s">
        <v>392</v>
      </c>
      <c r="R27" s="660" t="s">
        <v>393</v>
      </c>
      <c r="S27" s="735" t="s">
        <v>392</v>
      </c>
      <c r="T27" s="660" t="s">
        <v>393</v>
      </c>
      <c r="U27" s="735" t="s">
        <v>392</v>
      </c>
      <c r="V27" s="660" t="s">
        <v>393</v>
      </c>
      <c r="W27" s="735" t="s">
        <v>392</v>
      </c>
      <c r="X27" s="660" t="s">
        <v>393</v>
      </c>
      <c r="Y27" s="735" t="s">
        <v>392</v>
      </c>
      <c r="Z27" s="660" t="s">
        <v>393</v>
      </c>
      <c r="AA27" s="735" t="s">
        <v>392</v>
      </c>
      <c r="AB27" s="660" t="s">
        <v>393</v>
      </c>
      <c r="AC27" s="735" t="s">
        <v>392</v>
      </c>
      <c r="AD27" s="660" t="s">
        <v>393</v>
      </c>
      <c r="AE27" s="735" t="s">
        <v>392</v>
      </c>
      <c r="AF27" s="660" t="s">
        <v>393</v>
      </c>
      <c r="AG27" s="735" t="s">
        <v>392</v>
      </c>
      <c r="AH27" s="660" t="s">
        <v>393</v>
      </c>
      <c r="AI27" s="735" t="s">
        <v>392</v>
      </c>
      <c r="AJ27" s="660" t="s">
        <v>393</v>
      </c>
      <c r="AK27" s="735" t="s">
        <v>392</v>
      </c>
      <c r="AL27" s="660" t="s">
        <v>393</v>
      </c>
      <c r="AM27" s="735" t="s">
        <v>392</v>
      </c>
      <c r="AN27" s="660" t="s">
        <v>393</v>
      </c>
      <c r="AO27" s="735" t="s">
        <v>392</v>
      </c>
      <c r="AP27" s="660" t="s">
        <v>393</v>
      </c>
      <c r="AQ27" s="735" t="s">
        <v>392</v>
      </c>
      <c r="AR27" s="660" t="s">
        <v>393</v>
      </c>
      <c r="AS27" s="735" t="s">
        <v>392</v>
      </c>
      <c r="AT27" s="660" t="s">
        <v>393</v>
      </c>
      <c r="AU27" s="735" t="s">
        <v>392</v>
      </c>
      <c r="AV27" s="660" t="s">
        <v>393</v>
      </c>
      <c r="AW27" s="735" t="s">
        <v>392</v>
      </c>
      <c r="AX27" s="660" t="s">
        <v>393</v>
      </c>
      <c r="AY27" s="735" t="s">
        <v>392</v>
      </c>
      <c r="AZ27" s="660" t="s">
        <v>393</v>
      </c>
      <c r="BA27" s="735" t="s">
        <v>392</v>
      </c>
      <c r="BB27" s="662" t="s">
        <v>393</v>
      </c>
      <c r="BC27" s="716"/>
      <c r="BD27" s="730" t="s">
        <v>391</v>
      </c>
      <c r="BE27" s="731"/>
      <c r="BF27" s="732"/>
      <c r="BG27" s="660"/>
      <c r="BH27" s="732"/>
      <c r="BI27" s="732"/>
      <c r="BJ27" s="733" t="s">
        <v>392</v>
      </c>
      <c r="BK27" s="660" t="s">
        <v>393</v>
      </c>
      <c r="BL27" s="734" t="s">
        <v>392</v>
      </c>
      <c r="BM27" s="660" t="s">
        <v>393</v>
      </c>
      <c r="BN27" s="735" t="s">
        <v>392</v>
      </c>
      <c r="BO27" s="660" t="s">
        <v>393</v>
      </c>
      <c r="BP27" s="735" t="s">
        <v>392</v>
      </c>
      <c r="BQ27" s="660" t="s">
        <v>393</v>
      </c>
      <c r="BR27" s="735" t="s">
        <v>392</v>
      </c>
      <c r="BS27" s="660" t="s">
        <v>393</v>
      </c>
      <c r="BT27" s="735" t="s">
        <v>392</v>
      </c>
      <c r="BU27" s="660" t="s">
        <v>393</v>
      </c>
      <c r="BV27" s="735" t="s">
        <v>392</v>
      </c>
      <c r="BW27" s="660" t="s">
        <v>393</v>
      </c>
      <c r="BX27" s="735" t="s">
        <v>392</v>
      </c>
      <c r="BY27" s="660" t="s">
        <v>393</v>
      </c>
      <c r="BZ27" s="735" t="s">
        <v>392</v>
      </c>
      <c r="CA27" s="660" t="s">
        <v>393</v>
      </c>
      <c r="CB27" s="735" t="s">
        <v>392</v>
      </c>
      <c r="CC27" s="660" t="s">
        <v>393</v>
      </c>
      <c r="CD27" s="735" t="s">
        <v>392</v>
      </c>
      <c r="CE27" s="660" t="s">
        <v>393</v>
      </c>
      <c r="CF27" s="735" t="s">
        <v>392</v>
      </c>
      <c r="CG27" s="660" t="s">
        <v>393</v>
      </c>
      <c r="CH27" s="735" t="s">
        <v>392</v>
      </c>
      <c r="CI27" s="660" t="s">
        <v>393</v>
      </c>
      <c r="CJ27" s="735" t="s">
        <v>392</v>
      </c>
      <c r="CK27" s="660" t="s">
        <v>393</v>
      </c>
      <c r="CL27" s="735" t="s">
        <v>392</v>
      </c>
      <c r="CM27" s="660" t="s">
        <v>393</v>
      </c>
      <c r="CN27" s="735" t="s">
        <v>392</v>
      </c>
      <c r="CO27" s="660" t="s">
        <v>393</v>
      </c>
      <c r="CP27" s="735" t="s">
        <v>392</v>
      </c>
      <c r="CQ27" s="660" t="s">
        <v>393</v>
      </c>
      <c r="CR27" s="735" t="s">
        <v>392</v>
      </c>
      <c r="CS27" s="660" t="s">
        <v>393</v>
      </c>
      <c r="CT27" s="735" t="s">
        <v>392</v>
      </c>
      <c r="CU27" s="660" t="s">
        <v>393</v>
      </c>
      <c r="CV27" s="735" t="s">
        <v>392</v>
      </c>
      <c r="CW27" s="660" t="s">
        <v>393</v>
      </c>
      <c r="CX27" s="735" t="s">
        <v>392</v>
      </c>
      <c r="CY27" s="660" t="s">
        <v>393</v>
      </c>
      <c r="CZ27" s="735" t="s">
        <v>392</v>
      </c>
      <c r="DA27" s="660" t="s">
        <v>393</v>
      </c>
      <c r="DB27" s="735" t="s">
        <v>392</v>
      </c>
      <c r="DC27" s="660" t="s">
        <v>393</v>
      </c>
      <c r="DD27" s="735" t="s">
        <v>392</v>
      </c>
      <c r="DE27" s="662" t="s">
        <v>393</v>
      </c>
      <c r="DF27" s="716"/>
      <c r="DG27" s="730" t="s">
        <v>391</v>
      </c>
      <c r="DH27" s="736"/>
      <c r="DI27" s="737"/>
      <c r="DJ27" s="738"/>
      <c r="DK27" s="737"/>
      <c r="DL27" s="737"/>
      <c r="DM27" s="733" t="s">
        <v>392</v>
      </c>
      <c r="DN27" s="660" t="s">
        <v>393</v>
      </c>
      <c r="DO27" s="734" t="s">
        <v>392</v>
      </c>
      <c r="DP27" s="660" t="s">
        <v>393</v>
      </c>
      <c r="DQ27" s="735" t="s">
        <v>392</v>
      </c>
      <c r="DR27" s="660" t="s">
        <v>393</v>
      </c>
      <c r="DS27" s="735" t="s">
        <v>392</v>
      </c>
      <c r="DT27" s="660" t="s">
        <v>393</v>
      </c>
      <c r="DU27" s="735" t="s">
        <v>392</v>
      </c>
      <c r="DV27" s="660" t="s">
        <v>393</v>
      </c>
      <c r="DW27" s="735" t="s">
        <v>392</v>
      </c>
      <c r="DX27" s="660" t="s">
        <v>393</v>
      </c>
      <c r="DY27" s="735" t="s">
        <v>392</v>
      </c>
      <c r="DZ27" s="660" t="s">
        <v>393</v>
      </c>
      <c r="EA27" s="735" t="s">
        <v>392</v>
      </c>
      <c r="EB27" s="660" t="s">
        <v>393</v>
      </c>
      <c r="EC27" s="735" t="s">
        <v>392</v>
      </c>
      <c r="ED27" s="660" t="s">
        <v>393</v>
      </c>
      <c r="EE27" s="735" t="s">
        <v>392</v>
      </c>
      <c r="EF27" s="660" t="s">
        <v>393</v>
      </c>
      <c r="EG27" s="735" t="s">
        <v>392</v>
      </c>
      <c r="EH27" s="660" t="s">
        <v>393</v>
      </c>
      <c r="EI27" s="735" t="s">
        <v>392</v>
      </c>
      <c r="EJ27" s="660" t="s">
        <v>393</v>
      </c>
      <c r="EK27" s="735" t="s">
        <v>392</v>
      </c>
      <c r="EL27" s="660" t="s">
        <v>393</v>
      </c>
      <c r="EM27" s="735" t="s">
        <v>392</v>
      </c>
      <c r="EN27" s="660" t="s">
        <v>393</v>
      </c>
      <c r="EO27" s="735" t="s">
        <v>392</v>
      </c>
      <c r="EP27" s="660" t="s">
        <v>393</v>
      </c>
      <c r="EQ27" s="735" t="s">
        <v>392</v>
      </c>
      <c r="ER27" s="660" t="s">
        <v>393</v>
      </c>
      <c r="ES27" s="735" t="s">
        <v>392</v>
      </c>
      <c r="ET27" s="660" t="s">
        <v>393</v>
      </c>
      <c r="EU27" s="735" t="s">
        <v>392</v>
      </c>
      <c r="EV27" s="660" t="s">
        <v>393</v>
      </c>
      <c r="EW27" s="735" t="s">
        <v>392</v>
      </c>
      <c r="EX27" s="660" t="s">
        <v>393</v>
      </c>
      <c r="EY27" s="735" t="s">
        <v>392</v>
      </c>
      <c r="EZ27" s="660" t="s">
        <v>393</v>
      </c>
      <c r="FA27" s="735" t="s">
        <v>392</v>
      </c>
      <c r="FB27" s="660" t="s">
        <v>393</v>
      </c>
      <c r="FC27" s="735" t="s">
        <v>392</v>
      </c>
      <c r="FD27" s="660" t="s">
        <v>393</v>
      </c>
      <c r="FE27" s="735" t="s">
        <v>392</v>
      </c>
      <c r="FF27" s="660" t="s">
        <v>393</v>
      </c>
      <c r="FG27" s="735" t="s">
        <v>392</v>
      </c>
      <c r="FH27" s="662" t="s">
        <v>393</v>
      </c>
      <c r="FI27" s="739"/>
      <c r="FJ27" s="539" t="s">
        <v>391</v>
      </c>
      <c r="FK27" s="736"/>
      <c r="FL27" s="737"/>
      <c r="FM27" s="738"/>
      <c r="FN27" s="737"/>
      <c r="FO27" s="737"/>
      <c r="FP27" s="740" t="s">
        <v>394</v>
      </c>
      <c r="FQ27" s="666" t="s">
        <v>392</v>
      </c>
      <c r="FR27" s="660" t="s">
        <v>395</v>
      </c>
      <c r="FS27" s="741" t="s">
        <v>394</v>
      </c>
      <c r="FT27" s="666" t="s">
        <v>392</v>
      </c>
      <c r="FU27" s="668" t="s">
        <v>395</v>
      </c>
      <c r="FV27" s="590"/>
      <c r="FW27" s="591"/>
      <c r="FX27" s="592"/>
      <c r="FY27" s="593"/>
      <c r="FZ27" s="594"/>
      <c r="GA27" s="595"/>
      <c r="GB27" s="596"/>
      <c r="GC27" s="597"/>
      <c r="GD27" s="596"/>
      <c r="GE27" s="598"/>
      <c r="GF27" s="742"/>
      <c r="GG27" s="743"/>
      <c r="GH27" s="743"/>
      <c r="GI27" s="743"/>
      <c r="GJ27" s="612"/>
      <c r="GK27" s="527" t="s">
        <v>466</v>
      </c>
      <c r="GL27" s="612"/>
      <c r="GM27" s="612"/>
      <c r="GN27" s="612"/>
      <c r="GO27" s="414"/>
      <c r="GP27" s="744">
        <v>27.3</v>
      </c>
      <c r="GQ27" s="414" t="s">
        <v>467</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396</v>
      </c>
      <c r="C28" s="746"/>
      <c r="D28" s="747">
        <v>69</v>
      </c>
      <c r="E28" s="748">
        <v>4</v>
      </c>
      <c r="F28" s="749" t="s">
        <v>397</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396</v>
      </c>
      <c r="BF28" s="746"/>
      <c r="BG28" s="747">
        <v>69</v>
      </c>
      <c r="BH28" s="748">
        <v>4</v>
      </c>
      <c r="BI28" s="749" t="s">
        <v>397</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396</v>
      </c>
      <c r="DI28" s="746"/>
      <c r="DJ28" s="747">
        <v>69</v>
      </c>
      <c r="DK28" s="748">
        <v>4</v>
      </c>
      <c r="DL28" s="749" t="s">
        <v>397</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396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468</v>
      </c>
      <c r="GL28" s="414"/>
      <c r="GM28" s="414"/>
      <c r="GN28" s="414"/>
      <c r="GO28" s="527"/>
      <c r="GP28" s="744">
        <v>26</v>
      </c>
      <c r="GQ28" s="414" t="s">
        <v>467</v>
      </c>
      <c r="GR28" s="726"/>
      <c r="GS28" s="527"/>
      <c r="GT28" s="756"/>
      <c r="GU28" s="577" t="s">
        <v>469</v>
      </c>
      <c r="GV28" s="606"/>
      <c r="GW28" s="527"/>
      <c r="GX28" s="526"/>
      <c r="GY28" s="410"/>
      <c r="GZ28" s="612"/>
      <c r="HA28" s="527"/>
      <c r="HB28" s="527"/>
      <c r="HC28" s="527"/>
      <c r="HD28" s="527"/>
      <c r="HE28" s="416"/>
      <c r="HF28" s="416"/>
      <c r="HG28" s="416"/>
      <c r="HH28" s="416"/>
    </row>
    <row r="29" spans="1:218" ht="20.100000000000001" customHeight="1" thickBot="1">
      <c r="A29" s="549"/>
      <c r="B29" s="757" t="s">
        <v>398</v>
      </c>
      <c r="C29" s="758"/>
      <c r="D29" s="759">
        <v>15</v>
      </c>
      <c r="E29" s="760">
        <v>13.2</v>
      </c>
      <c r="F29" s="761" t="s">
        <v>397</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398</v>
      </c>
      <c r="BF29" s="758"/>
      <c r="BG29" s="759">
        <v>15</v>
      </c>
      <c r="BH29" s="760">
        <v>13.2</v>
      </c>
      <c r="BI29" s="761" t="s">
        <v>397</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398</v>
      </c>
      <c r="DI29" s="758"/>
      <c r="DJ29" s="759">
        <v>15</v>
      </c>
      <c r="DK29" s="760">
        <v>13.2</v>
      </c>
      <c r="DL29" s="761" t="s">
        <v>397</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398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470</v>
      </c>
      <c r="GL29" s="767"/>
      <c r="GM29" s="767"/>
      <c r="GN29" s="767"/>
      <c r="GO29" s="612"/>
      <c r="GP29" s="744">
        <v>1.3000000000000007</v>
      </c>
      <c r="GQ29" s="414" t="s">
        <v>467</v>
      </c>
      <c r="GR29" s="768"/>
      <c r="GS29" s="527"/>
      <c r="GT29" s="756"/>
      <c r="GU29" s="577" t="s">
        <v>471</v>
      </c>
      <c r="GV29" s="606"/>
      <c r="GW29" s="527"/>
      <c r="GX29" s="526"/>
      <c r="GY29" s="410"/>
      <c r="GZ29" s="527"/>
      <c r="HA29" s="577"/>
      <c r="HB29" s="577"/>
      <c r="HC29" s="576"/>
      <c r="HD29" s="527"/>
      <c r="HE29" s="416"/>
      <c r="HF29" s="416"/>
    </row>
    <row r="30" spans="1:218" ht="20.100000000000001" customHeight="1">
      <c r="A30" s="549"/>
      <c r="B30" s="757" t="s">
        <v>399</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399</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399</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472</v>
      </c>
      <c r="GL30" s="767"/>
      <c r="GM30" s="767"/>
      <c r="GN30" s="767"/>
      <c r="GO30" s="527"/>
      <c r="GP30" s="771">
        <v>0</v>
      </c>
      <c r="GQ30" s="414"/>
      <c r="GR30" s="414"/>
      <c r="GS30" s="527"/>
      <c r="GT30" s="756"/>
      <c r="GU30" s="772" t="s">
        <v>366</v>
      </c>
      <c r="GV30" s="773"/>
      <c r="GW30" s="774" t="s">
        <v>473</v>
      </c>
      <c r="GX30" s="774"/>
      <c r="GY30" s="774"/>
      <c r="GZ30" s="774"/>
      <c r="HA30" s="775"/>
      <c r="HB30" s="776" t="s">
        <v>474</v>
      </c>
      <c r="HC30" s="576"/>
      <c r="HD30" s="559"/>
      <c r="HE30" s="416"/>
      <c r="HF30" s="416"/>
    </row>
    <row r="31" spans="1:218" ht="20.100000000000001" customHeight="1">
      <c r="A31" s="549"/>
      <c r="B31" s="777" t="s">
        <v>400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475</v>
      </c>
      <c r="GL31" s="414"/>
      <c r="GM31" s="577"/>
      <c r="GN31" s="414"/>
      <c r="GO31" s="577"/>
      <c r="GP31" s="771">
        <v>0</v>
      </c>
      <c r="GQ31" s="414"/>
      <c r="GR31" s="414"/>
      <c r="GS31" s="577"/>
      <c r="GT31" s="756"/>
      <c r="GU31" s="772"/>
      <c r="GV31" s="773"/>
      <c r="GW31" s="782" t="s">
        <v>476</v>
      </c>
      <c r="GX31" s="783" t="s">
        <v>477</v>
      </c>
      <c r="GY31" s="784" t="s">
        <v>478</v>
      </c>
      <c r="GZ31" s="785" t="s">
        <v>479</v>
      </c>
      <c r="HA31" s="785" t="s">
        <v>455</v>
      </c>
      <c r="HB31" s="786"/>
      <c r="HC31" s="576"/>
      <c r="HD31" s="559"/>
      <c r="HE31" s="416"/>
      <c r="HF31" s="416"/>
    </row>
    <row r="32" spans="1:218" ht="20.100000000000001" customHeight="1">
      <c r="A32" s="549"/>
      <c r="B32" s="787" t="s">
        <v>401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402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402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402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480</v>
      </c>
      <c r="GL33" s="576"/>
      <c r="GM33" s="527"/>
      <c r="GN33" s="576"/>
      <c r="GO33" s="527"/>
      <c r="GP33" s="527"/>
      <c r="GQ33" s="527"/>
      <c r="GR33" s="576"/>
      <c r="GS33" s="527"/>
      <c r="GT33" s="756"/>
      <c r="GU33" s="804">
        <v>204</v>
      </c>
      <c r="GV33" s="805"/>
      <c r="GW33" s="806">
        <v>0</v>
      </c>
      <c r="GX33" s="807">
        <v>6.6</v>
      </c>
      <c r="GY33" s="807">
        <v>35.590000000000003</v>
      </c>
      <c r="GZ33" s="807">
        <v>0</v>
      </c>
      <c r="HA33" s="807">
        <v>42.190000000000005</v>
      </c>
      <c r="HB33" s="808">
        <v>13.2</v>
      </c>
      <c r="HC33" s="414"/>
      <c r="HD33" s="645"/>
      <c r="HE33" s="416"/>
      <c r="HF33" s="416"/>
    </row>
    <row r="34" spans="1:219" ht="20.100000000000001" customHeight="1">
      <c r="A34" s="809" t="s">
        <v>403</v>
      </c>
      <c r="B34" s="736"/>
      <c r="C34" s="810"/>
      <c r="D34" s="811"/>
      <c r="E34" s="810"/>
      <c r="F34" s="812"/>
      <c r="G34" s="733" t="s">
        <v>404</v>
      </c>
      <c r="H34" s="660" t="s">
        <v>393</v>
      </c>
      <c r="I34" s="734" t="s">
        <v>404</v>
      </c>
      <c r="J34" s="660" t="s">
        <v>393</v>
      </c>
      <c r="K34" s="735" t="s">
        <v>404</v>
      </c>
      <c r="L34" s="660" t="s">
        <v>393</v>
      </c>
      <c r="M34" s="735" t="s">
        <v>404</v>
      </c>
      <c r="N34" s="660" t="s">
        <v>393</v>
      </c>
      <c r="O34" s="735" t="s">
        <v>404</v>
      </c>
      <c r="P34" s="660" t="s">
        <v>393</v>
      </c>
      <c r="Q34" s="735" t="s">
        <v>404</v>
      </c>
      <c r="R34" s="660" t="s">
        <v>393</v>
      </c>
      <c r="S34" s="735" t="s">
        <v>404</v>
      </c>
      <c r="T34" s="660" t="s">
        <v>393</v>
      </c>
      <c r="U34" s="735" t="s">
        <v>404</v>
      </c>
      <c r="V34" s="660" t="s">
        <v>393</v>
      </c>
      <c r="W34" s="735" t="s">
        <v>404</v>
      </c>
      <c r="X34" s="660" t="s">
        <v>393</v>
      </c>
      <c r="Y34" s="735" t="s">
        <v>404</v>
      </c>
      <c r="Z34" s="660" t="s">
        <v>393</v>
      </c>
      <c r="AA34" s="735" t="s">
        <v>404</v>
      </c>
      <c r="AB34" s="660" t="s">
        <v>393</v>
      </c>
      <c r="AC34" s="735" t="s">
        <v>404</v>
      </c>
      <c r="AD34" s="660" t="s">
        <v>393</v>
      </c>
      <c r="AE34" s="735" t="s">
        <v>404</v>
      </c>
      <c r="AF34" s="660" t="s">
        <v>393</v>
      </c>
      <c r="AG34" s="735" t="s">
        <v>404</v>
      </c>
      <c r="AH34" s="660" t="s">
        <v>393</v>
      </c>
      <c r="AI34" s="735" t="s">
        <v>404</v>
      </c>
      <c r="AJ34" s="660" t="s">
        <v>393</v>
      </c>
      <c r="AK34" s="735" t="s">
        <v>404</v>
      </c>
      <c r="AL34" s="660" t="s">
        <v>393</v>
      </c>
      <c r="AM34" s="735" t="s">
        <v>404</v>
      </c>
      <c r="AN34" s="660" t="s">
        <v>393</v>
      </c>
      <c r="AO34" s="735" t="s">
        <v>404</v>
      </c>
      <c r="AP34" s="660" t="s">
        <v>393</v>
      </c>
      <c r="AQ34" s="735" t="s">
        <v>404</v>
      </c>
      <c r="AR34" s="660" t="s">
        <v>393</v>
      </c>
      <c r="AS34" s="735" t="s">
        <v>404</v>
      </c>
      <c r="AT34" s="660" t="s">
        <v>393</v>
      </c>
      <c r="AU34" s="735" t="s">
        <v>404</v>
      </c>
      <c r="AV34" s="660" t="s">
        <v>393</v>
      </c>
      <c r="AW34" s="735" t="s">
        <v>404</v>
      </c>
      <c r="AX34" s="660" t="s">
        <v>393</v>
      </c>
      <c r="AY34" s="735" t="s">
        <v>404</v>
      </c>
      <c r="AZ34" s="660" t="s">
        <v>393</v>
      </c>
      <c r="BA34" s="735" t="s">
        <v>404</v>
      </c>
      <c r="BB34" s="662" t="s">
        <v>393</v>
      </c>
      <c r="BC34" s="716"/>
      <c r="BD34" s="809" t="s">
        <v>403</v>
      </c>
      <c r="BE34" s="731"/>
      <c r="BF34" s="813"/>
      <c r="BG34" s="814"/>
      <c r="BH34" s="813"/>
      <c r="BI34" s="815"/>
      <c r="BJ34" s="733" t="s">
        <v>404</v>
      </c>
      <c r="BK34" s="660" t="s">
        <v>393</v>
      </c>
      <c r="BL34" s="734" t="s">
        <v>404</v>
      </c>
      <c r="BM34" s="660" t="s">
        <v>393</v>
      </c>
      <c r="BN34" s="735" t="s">
        <v>404</v>
      </c>
      <c r="BO34" s="660" t="s">
        <v>393</v>
      </c>
      <c r="BP34" s="735" t="s">
        <v>404</v>
      </c>
      <c r="BQ34" s="660" t="s">
        <v>393</v>
      </c>
      <c r="BR34" s="735" t="s">
        <v>404</v>
      </c>
      <c r="BS34" s="660" t="s">
        <v>393</v>
      </c>
      <c r="BT34" s="735" t="s">
        <v>404</v>
      </c>
      <c r="BU34" s="660" t="s">
        <v>393</v>
      </c>
      <c r="BV34" s="735" t="s">
        <v>404</v>
      </c>
      <c r="BW34" s="660" t="s">
        <v>393</v>
      </c>
      <c r="BX34" s="735" t="s">
        <v>404</v>
      </c>
      <c r="BY34" s="660" t="s">
        <v>393</v>
      </c>
      <c r="BZ34" s="735" t="s">
        <v>404</v>
      </c>
      <c r="CA34" s="660" t="s">
        <v>393</v>
      </c>
      <c r="CB34" s="735" t="s">
        <v>404</v>
      </c>
      <c r="CC34" s="660" t="s">
        <v>393</v>
      </c>
      <c r="CD34" s="735" t="s">
        <v>404</v>
      </c>
      <c r="CE34" s="660" t="s">
        <v>393</v>
      </c>
      <c r="CF34" s="735" t="s">
        <v>404</v>
      </c>
      <c r="CG34" s="660" t="s">
        <v>393</v>
      </c>
      <c r="CH34" s="735" t="s">
        <v>404</v>
      </c>
      <c r="CI34" s="660" t="s">
        <v>393</v>
      </c>
      <c r="CJ34" s="735" t="s">
        <v>404</v>
      </c>
      <c r="CK34" s="660" t="s">
        <v>393</v>
      </c>
      <c r="CL34" s="735" t="s">
        <v>404</v>
      </c>
      <c r="CM34" s="660" t="s">
        <v>393</v>
      </c>
      <c r="CN34" s="735" t="s">
        <v>404</v>
      </c>
      <c r="CO34" s="660" t="s">
        <v>393</v>
      </c>
      <c r="CP34" s="735" t="s">
        <v>404</v>
      </c>
      <c r="CQ34" s="660" t="s">
        <v>393</v>
      </c>
      <c r="CR34" s="735" t="s">
        <v>404</v>
      </c>
      <c r="CS34" s="660" t="s">
        <v>393</v>
      </c>
      <c r="CT34" s="735" t="s">
        <v>404</v>
      </c>
      <c r="CU34" s="660" t="s">
        <v>393</v>
      </c>
      <c r="CV34" s="735" t="s">
        <v>404</v>
      </c>
      <c r="CW34" s="660" t="s">
        <v>393</v>
      </c>
      <c r="CX34" s="735" t="s">
        <v>404</v>
      </c>
      <c r="CY34" s="660" t="s">
        <v>393</v>
      </c>
      <c r="CZ34" s="735" t="s">
        <v>404</v>
      </c>
      <c r="DA34" s="660" t="s">
        <v>393</v>
      </c>
      <c r="DB34" s="735" t="s">
        <v>404</v>
      </c>
      <c r="DC34" s="660" t="s">
        <v>393</v>
      </c>
      <c r="DD34" s="735" t="s">
        <v>404</v>
      </c>
      <c r="DE34" s="662" t="s">
        <v>393</v>
      </c>
      <c r="DF34" s="716"/>
      <c r="DG34" s="809" t="s">
        <v>403</v>
      </c>
      <c r="DH34" s="731"/>
      <c r="DI34" s="813"/>
      <c r="DJ34" s="814"/>
      <c r="DK34" s="813"/>
      <c r="DL34" s="815"/>
      <c r="DM34" s="733" t="s">
        <v>404</v>
      </c>
      <c r="DN34" s="660" t="s">
        <v>393</v>
      </c>
      <c r="DO34" s="734" t="s">
        <v>404</v>
      </c>
      <c r="DP34" s="660" t="s">
        <v>393</v>
      </c>
      <c r="DQ34" s="735" t="s">
        <v>404</v>
      </c>
      <c r="DR34" s="660" t="s">
        <v>393</v>
      </c>
      <c r="DS34" s="735" t="s">
        <v>404</v>
      </c>
      <c r="DT34" s="660" t="s">
        <v>393</v>
      </c>
      <c r="DU34" s="735" t="s">
        <v>404</v>
      </c>
      <c r="DV34" s="660" t="s">
        <v>393</v>
      </c>
      <c r="DW34" s="735" t="s">
        <v>404</v>
      </c>
      <c r="DX34" s="660" t="s">
        <v>393</v>
      </c>
      <c r="DY34" s="735" t="s">
        <v>404</v>
      </c>
      <c r="DZ34" s="660" t="s">
        <v>393</v>
      </c>
      <c r="EA34" s="735" t="s">
        <v>404</v>
      </c>
      <c r="EB34" s="660" t="s">
        <v>393</v>
      </c>
      <c r="EC34" s="735" t="s">
        <v>404</v>
      </c>
      <c r="ED34" s="660" t="s">
        <v>393</v>
      </c>
      <c r="EE34" s="735" t="s">
        <v>404</v>
      </c>
      <c r="EF34" s="660" t="s">
        <v>393</v>
      </c>
      <c r="EG34" s="735" t="s">
        <v>404</v>
      </c>
      <c r="EH34" s="660" t="s">
        <v>393</v>
      </c>
      <c r="EI34" s="735" t="s">
        <v>404</v>
      </c>
      <c r="EJ34" s="660" t="s">
        <v>393</v>
      </c>
      <c r="EK34" s="735" t="s">
        <v>404</v>
      </c>
      <c r="EL34" s="660" t="s">
        <v>393</v>
      </c>
      <c r="EM34" s="735" t="s">
        <v>404</v>
      </c>
      <c r="EN34" s="660" t="s">
        <v>393</v>
      </c>
      <c r="EO34" s="735" t="s">
        <v>404</v>
      </c>
      <c r="EP34" s="660" t="s">
        <v>393</v>
      </c>
      <c r="EQ34" s="735" t="s">
        <v>404</v>
      </c>
      <c r="ER34" s="660" t="s">
        <v>393</v>
      </c>
      <c r="ES34" s="735" t="s">
        <v>404</v>
      </c>
      <c r="ET34" s="660" t="s">
        <v>393</v>
      </c>
      <c r="EU34" s="735" t="s">
        <v>404</v>
      </c>
      <c r="EV34" s="660" t="s">
        <v>393</v>
      </c>
      <c r="EW34" s="735" t="s">
        <v>404</v>
      </c>
      <c r="EX34" s="660" t="s">
        <v>393</v>
      </c>
      <c r="EY34" s="735" t="s">
        <v>404</v>
      </c>
      <c r="EZ34" s="660" t="s">
        <v>393</v>
      </c>
      <c r="FA34" s="735" t="s">
        <v>404</v>
      </c>
      <c r="FB34" s="660" t="s">
        <v>393</v>
      </c>
      <c r="FC34" s="735" t="s">
        <v>404</v>
      </c>
      <c r="FD34" s="660" t="s">
        <v>393</v>
      </c>
      <c r="FE34" s="735" t="s">
        <v>404</v>
      </c>
      <c r="FF34" s="660" t="s">
        <v>393</v>
      </c>
      <c r="FG34" s="735" t="s">
        <v>404</v>
      </c>
      <c r="FH34" s="662" t="s">
        <v>393</v>
      </c>
      <c r="FI34" s="739"/>
      <c r="FJ34" s="816" t="s">
        <v>403</v>
      </c>
      <c r="FK34" s="731"/>
      <c r="FL34" s="813"/>
      <c r="FM34" s="814"/>
      <c r="FN34" s="813"/>
      <c r="FO34" s="815"/>
      <c r="FP34" s="740" t="s">
        <v>394</v>
      </c>
      <c r="FQ34" s="666" t="s">
        <v>404</v>
      </c>
      <c r="FR34" s="660" t="s">
        <v>395</v>
      </c>
      <c r="FS34" s="741" t="s">
        <v>394</v>
      </c>
      <c r="FT34" s="666" t="s">
        <v>404</v>
      </c>
      <c r="FU34" s="668" t="s">
        <v>395</v>
      </c>
      <c r="FV34" s="590"/>
      <c r="FW34" s="591"/>
      <c r="FX34" s="799"/>
      <c r="FY34" s="593"/>
      <c r="FZ34" s="800"/>
      <c r="GA34" s="595"/>
      <c r="GB34" s="801"/>
      <c r="GC34" s="597"/>
      <c r="GD34" s="801"/>
      <c r="GE34" s="598"/>
      <c r="GF34" s="742"/>
      <c r="GG34" s="743"/>
      <c r="GH34" s="743"/>
      <c r="GI34" s="743"/>
      <c r="GJ34" s="576"/>
      <c r="GK34" s="817" t="s">
        <v>540</v>
      </c>
      <c r="GL34" s="817"/>
      <c r="GM34" s="817"/>
      <c r="GN34" s="817"/>
      <c r="GO34" s="817"/>
      <c r="GP34" s="817"/>
      <c r="GQ34" s="612">
        <v>7</v>
      </c>
      <c r="GR34" s="576" t="s">
        <v>462</v>
      </c>
      <c r="GS34" s="577"/>
      <c r="GT34" s="756"/>
      <c r="GU34" s="818"/>
      <c r="GV34" s="819"/>
      <c r="GW34" s="820"/>
      <c r="GX34" s="630"/>
      <c r="GY34" s="630"/>
      <c r="GZ34" s="630"/>
      <c r="HA34" s="630"/>
      <c r="HB34" s="631"/>
      <c r="HC34" s="527"/>
      <c r="HD34" s="716"/>
      <c r="HE34" s="416"/>
      <c r="HF34" s="416"/>
    </row>
    <row r="35" spans="1:219" ht="20.100000000000001" customHeight="1">
      <c r="A35" s="821"/>
      <c r="B35" s="463" t="s">
        <v>405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321</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321</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321</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482</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541</v>
      </c>
      <c r="GL36" s="817"/>
      <c r="GM36" s="817"/>
      <c r="GN36" s="817"/>
      <c r="GO36" s="817"/>
      <c r="GP36" s="817"/>
      <c r="GQ36" s="612">
        <v>10</v>
      </c>
      <c r="GR36" s="576" t="s">
        <v>462</v>
      </c>
      <c r="GS36" s="527"/>
      <c r="GT36" s="756"/>
      <c r="GU36" s="818"/>
      <c r="GV36" s="819"/>
      <c r="GW36" s="820"/>
      <c r="GX36" s="630"/>
      <c r="GY36" s="630"/>
      <c r="GZ36" s="630"/>
      <c r="HA36" s="630"/>
      <c r="HB36" s="631"/>
      <c r="HC36" s="527"/>
      <c r="HD36" s="645"/>
      <c r="HE36" s="416"/>
      <c r="HF36" s="416"/>
    </row>
    <row r="37" spans="1:219" ht="24" customHeight="1">
      <c r="A37" s="842" t="s">
        <v>407</v>
      </c>
      <c r="B37" s="843"/>
      <c r="C37" s="844" t="s">
        <v>408</v>
      </c>
      <c r="D37" s="845"/>
      <c r="E37" s="846" t="s">
        <v>409</v>
      </c>
      <c r="F37" s="847"/>
      <c r="G37" s="659" t="s">
        <v>404</v>
      </c>
      <c r="H37" s="660" t="s">
        <v>410</v>
      </c>
      <c r="I37" s="661" t="s">
        <v>404</v>
      </c>
      <c r="J37" s="660" t="s">
        <v>411</v>
      </c>
      <c r="K37" s="661" t="s">
        <v>404</v>
      </c>
      <c r="L37" s="660" t="s">
        <v>411</v>
      </c>
      <c r="M37" s="661" t="s">
        <v>404</v>
      </c>
      <c r="N37" s="660" t="s">
        <v>411</v>
      </c>
      <c r="O37" s="661" t="s">
        <v>404</v>
      </c>
      <c r="P37" s="660" t="s">
        <v>411</v>
      </c>
      <c r="Q37" s="661" t="s">
        <v>404</v>
      </c>
      <c r="R37" s="660" t="s">
        <v>411</v>
      </c>
      <c r="S37" s="661" t="s">
        <v>404</v>
      </c>
      <c r="T37" s="660" t="s">
        <v>411</v>
      </c>
      <c r="U37" s="661" t="s">
        <v>404</v>
      </c>
      <c r="V37" s="660" t="s">
        <v>411</v>
      </c>
      <c r="W37" s="661" t="s">
        <v>404</v>
      </c>
      <c r="X37" s="660" t="s">
        <v>411</v>
      </c>
      <c r="Y37" s="661" t="s">
        <v>404</v>
      </c>
      <c r="Z37" s="660" t="s">
        <v>411</v>
      </c>
      <c r="AA37" s="661" t="s">
        <v>404</v>
      </c>
      <c r="AB37" s="660" t="s">
        <v>411</v>
      </c>
      <c r="AC37" s="661" t="s">
        <v>404</v>
      </c>
      <c r="AD37" s="660" t="s">
        <v>411</v>
      </c>
      <c r="AE37" s="661" t="s">
        <v>404</v>
      </c>
      <c r="AF37" s="660" t="s">
        <v>411</v>
      </c>
      <c r="AG37" s="661" t="s">
        <v>404</v>
      </c>
      <c r="AH37" s="660" t="s">
        <v>411</v>
      </c>
      <c r="AI37" s="661" t="s">
        <v>404</v>
      </c>
      <c r="AJ37" s="660" t="s">
        <v>411</v>
      </c>
      <c r="AK37" s="661" t="s">
        <v>404</v>
      </c>
      <c r="AL37" s="660" t="s">
        <v>411</v>
      </c>
      <c r="AM37" s="661" t="s">
        <v>404</v>
      </c>
      <c r="AN37" s="660" t="s">
        <v>411</v>
      </c>
      <c r="AO37" s="661" t="s">
        <v>404</v>
      </c>
      <c r="AP37" s="660" t="s">
        <v>411</v>
      </c>
      <c r="AQ37" s="661" t="s">
        <v>404</v>
      </c>
      <c r="AR37" s="660" t="s">
        <v>411</v>
      </c>
      <c r="AS37" s="661" t="s">
        <v>404</v>
      </c>
      <c r="AT37" s="660" t="s">
        <v>411</v>
      </c>
      <c r="AU37" s="661" t="s">
        <v>404</v>
      </c>
      <c r="AV37" s="660" t="s">
        <v>411</v>
      </c>
      <c r="AW37" s="661" t="s">
        <v>404</v>
      </c>
      <c r="AX37" s="660" t="s">
        <v>411</v>
      </c>
      <c r="AY37" s="661" t="s">
        <v>404</v>
      </c>
      <c r="AZ37" s="660" t="s">
        <v>411</v>
      </c>
      <c r="BA37" s="661" t="s">
        <v>404</v>
      </c>
      <c r="BB37" s="662" t="s">
        <v>411</v>
      </c>
      <c r="BC37" s="716"/>
      <c r="BD37" s="842" t="s">
        <v>407</v>
      </c>
      <c r="BE37" s="843"/>
      <c r="BF37" s="844" t="s">
        <v>408</v>
      </c>
      <c r="BG37" s="845"/>
      <c r="BH37" s="846" t="s">
        <v>409</v>
      </c>
      <c r="BI37" s="847"/>
      <c r="BJ37" s="659" t="s">
        <v>404</v>
      </c>
      <c r="BK37" s="660" t="s">
        <v>410</v>
      </c>
      <c r="BL37" s="661" t="s">
        <v>404</v>
      </c>
      <c r="BM37" s="660" t="s">
        <v>411</v>
      </c>
      <c r="BN37" s="661" t="s">
        <v>404</v>
      </c>
      <c r="BO37" s="660" t="s">
        <v>411</v>
      </c>
      <c r="BP37" s="661" t="s">
        <v>404</v>
      </c>
      <c r="BQ37" s="660" t="s">
        <v>411</v>
      </c>
      <c r="BR37" s="661" t="s">
        <v>404</v>
      </c>
      <c r="BS37" s="660" t="s">
        <v>411</v>
      </c>
      <c r="BT37" s="661" t="s">
        <v>404</v>
      </c>
      <c r="BU37" s="660" t="s">
        <v>411</v>
      </c>
      <c r="BV37" s="661" t="s">
        <v>404</v>
      </c>
      <c r="BW37" s="660" t="s">
        <v>411</v>
      </c>
      <c r="BX37" s="661" t="s">
        <v>404</v>
      </c>
      <c r="BY37" s="660" t="s">
        <v>411</v>
      </c>
      <c r="BZ37" s="661" t="s">
        <v>404</v>
      </c>
      <c r="CA37" s="660" t="s">
        <v>411</v>
      </c>
      <c r="CB37" s="661" t="s">
        <v>404</v>
      </c>
      <c r="CC37" s="660" t="s">
        <v>411</v>
      </c>
      <c r="CD37" s="661" t="s">
        <v>404</v>
      </c>
      <c r="CE37" s="660" t="s">
        <v>411</v>
      </c>
      <c r="CF37" s="661" t="s">
        <v>404</v>
      </c>
      <c r="CG37" s="660" t="s">
        <v>411</v>
      </c>
      <c r="CH37" s="661" t="s">
        <v>404</v>
      </c>
      <c r="CI37" s="660" t="s">
        <v>411</v>
      </c>
      <c r="CJ37" s="661" t="s">
        <v>404</v>
      </c>
      <c r="CK37" s="660" t="s">
        <v>411</v>
      </c>
      <c r="CL37" s="661" t="s">
        <v>404</v>
      </c>
      <c r="CM37" s="660" t="s">
        <v>411</v>
      </c>
      <c r="CN37" s="661" t="s">
        <v>404</v>
      </c>
      <c r="CO37" s="660" t="s">
        <v>411</v>
      </c>
      <c r="CP37" s="661" t="s">
        <v>404</v>
      </c>
      <c r="CQ37" s="660" t="s">
        <v>411</v>
      </c>
      <c r="CR37" s="661" t="s">
        <v>404</v>
      </c>
      <c r="CS37" s="660" t="s">
        <v>411</v>
      </c>
      <c r="CT37" s="661" t="s">
        <v>404</v>
      </c>
      <c r="CU37" s="660" t="s">
        <v>411</v>
      </c>
      <c r="CV37" s="661" t="s">
        <v>404</v>
      </c>
      <c r="CW37" s="660" t="s">
        <v>411</v>
      </c>
      <c r="CX37" s="661" t="s">
        <v>404</v>
      </c>
      <c r="CY37" s="660" t="s">
        <v>411</v>
      </c>
      <c r="CZ37" s="661" t="s">
        <v>404</v>
      </c>
      <c r="DA37" s="660" t="s">
        <v>411</v>
      </c>
      <c r="DB37" s="661" t="s">
        <v>404</v>
      </c>
      <c r="DC37" s="660" t="s">
        <v>411</v>
      </c>
      <c r="DD37" s="661" t="s">
        <v>404</v>
      </c>
      <c r="DE37" s="662" t="s">
        <v>411</v>
      </c>
      <c r="DF37" s="716"/>
      <c r="DG37" s="842" t="s">
        <v>407</v>
      </c>
      <c r="DH37" s="843"/>
      <c r="DI37" s="844" t="s">
        <v>408</v>
      </c>
      <c r="DJ37" s="845"/>
      <c r="DK37" s="846" t="s">
        <v>409</v>
      </c>
      <c r="DL37" s="847"/>
      <c r="DM37" s="659" t="s">
        <v>404</v>
      </c>
      <c r="DN37" s="660" t="s">
        <v>410</v>
      </c>
      <c r="DO37" s="661" t="s">
        <v>404</v>
      </c>
      <c r="DP37" s="660" t="s">
        <v>411</v>
      </c>
      <c r="DQ37" s="661" t="s">
        <v>404</v>
      </c>
      <c r="DR37" s="660" t="s">
        <v>411</v>
      </c>
      <c r="DS37" s="661" t="s">
        <v>404</v>
      </c>
      <c r="DT37" s="660" t="s">
        <v>411</v>
      </c>
      <c r="DU37" s="661" t="s">
        <v>404</v>
      </c>
      <c r="DV37" s="660" t="s">
        <v>411</v>
      </c>
      <c r="DW37" s="661" t="s">
        <v>404</v>
      </c>
      <c r="DX37" s="660" t="s">
        <v>411</v>
      </c>
      <c r="DY37" s="661" t="s">
        <v>404</v>
      </c>
      <c r="DZ37" s="660" t="s">
        <v>411</v>
      </c>
      <c r="EA37" s="661" t="s">
        <v>404</v>
      </c>
      <c r="EB37" s="660" t="s">
        <v>411</v>
      </c>
      <c r="EC37" s="661" t="s">
        <v>404</v>
      </c>
      <c r="ED37" s="660" t="s">
        <v>411</v>
      </c>
      <c r="EE37" s="661" t="s">
        <v>404</v>
      </c>
      <c r="EF37" s="660" t="s">
        <v>411</v>
      </c>
      <c r="EG37" s="661" t="s">
        <v>404</v>
      </c>
      <c r="EH37" s="660" t="s">
        <v>411</v>
      </c>
      <c r="EI37" s="661" t="s">
        <v>404</v>
      </c>
      <c r="EJ37" s="660" t="s">
        <v>411</v>
      </c>
      <c r="EK37" s="661" t="s">
        <v>404</v>
      </c>
      <c r="EL37" s="660" t="s">
        <v>411</v>
      </c>
      <c r="EM37" s="661" t="s">
        <v>404</v>
      </c>
      <c r="EN37" s="660" t="s">
        <v>411</v>
      </c>
      <c r="EO37" s="661" t="s">
        <v>404</v>
      </c>
      <c r="EP37" s="660" t="s">
        <v>411</v>
      </c>
      <c r="EQ37" s="661" t="s">
        <v>404</v>
      </c>
      <c r="ER37" s="660" t="s">
        <v>411</v>
      </c>
      <c r="ES37" s="661" t="s">
        <v>404</v>
      </c>
      <c r="ET37" s="660" t="s">
        <v>411</v>
      </c>
      <c r="EU37" s="661" t="s">
        <v>404</v>
      </c>
      <c r="EV37" s="660" t="s">
        <v>411</v>
      </c>
      <c r="EW37" s="661" t="s">
        <v>404</v>
      </c>
      <c r="EX37" s="660" t="s">
        <v>411</v>
      </c>
      <c r="EY37" s="661" t="s">
        <v>404</v>
      </c>
      <c r="EZ37" s="660" t="s">
        <v>411</v>
      </c>
      <c r="FA37" s="661" t="s">
        <v>404</v>
      </c>
      <c r="FB37" s="660" t="s">
        <v>411</v>
      </c>
      <c r="FC37" s="661" t="s">
        <v>404</v>
      </c>
      <c r="FD37" s="660" t="s">
        <v>411</v>
      </c>
      <c r="FE37" s="661" t="s">
        <v>404</v>
      </c>
      <c r="FF37" s="660" t="s">
        <v>411</v>
      </c>
      <c r="FG37" s="661" t="s">
        <v>404</v>
      </c>
      <c r="FH37" s="662" t="s">
        <v>411</v>
      </c>
      <c r="FI37" s="739"/>
      <c r="FJ37" s="816" t="s">
        <v>407</v>
      </c>
      <c r="FK37" s="843"/>
      <c r="FL37" s="844" t="s">
        <v>408</v>
      </c>
      <c r="FM37" s="845"/>
      <c r="FN37" s="846" t="s">
        <v>409</v>
      </c>
      <c r="FO37" s="847"/>
      <c r="FP37" s="665"/>
      <c r="FQ37" s="848" t="s">
        <v>412</v>
      </c>
      <c r="FR37" s="660" t="s">
        <v>411</v>
      </c>
      <c r="FS37" s="667"/>
      <c r="FT37" s="848" t="s">
        <v>412</v>
      </c>
      <c r="FU37" s="668" t="s">
        <v>411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260</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260</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260</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484</v>
      </c>
      <c r="GL38" s="410"/>
      <c r="GM38" s="414"/>
      <c r="GN38" s="410"/>
      <c r="GO38" s="414"/>
      <c r="GP38" s="414"/>
      <c r="GQ38" s="414"/>
      <c r="GR38" s="414"/>
      <c r="GS38" s="577"/>
      <c r="GT38" s="850"/>
      <c r="GU38" s="861" t="s">
        <v>455</v>
      </c>
      <c r="GV38" s="862"/>
      <c r="GW38" s="862"/>
      <c r="GX38" s="862"/>
      <c r="GY38" s="862"/>
      <c r="GZ38" s="863"/>
      <c r="HA38" s="630">
        <v>42.190000000000005</v>
      </c>
      <c r="HB38" s="864">
        <v>13.2</v>
      </c>
      <c r="HC38" s="527"/>
      <c r="HD38" s="527"/>
      <c r="HE38" s="388"/>
      <c r="HF38" s="388"/>
      <c r="HK38" s="416"/>
    </row>
    <row r="39" spans="1:219" ht="20.100000000000001" customHeight="1">
      <c r="A39" s="821"/>
      <c r="B39" s="865" t="s">
        <v>414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267</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267</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267</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485</v>
      </c>
      <c r="GN39" s="875"/>
      <c r="GO39" s="876" t="s">
        <v>486</v>
      </c>
      <c r="GP39" s="875"/>
      <c r="GQ39" s="876" t="s">
        <v>487</v>
      </c>
      <c r="GR39" s="877"/>
      <c r="GS39" s="414"/>
      <c r="GT39" s="682"/>
      <c r="GU39" s="527" t="s">
        <v>488</v>
      </c>
      <c r="GV39" s="527"/>
      <c r="GW39" s="527"/>
      <c r="GX39" s="527"/>
      <c r="GY39" s="527"/>
      <c r="GZ39" s="527"/>
      <c r="HA39" s="683">
        <v>3.2</v>
      </c>
      <c r="HB39" s="576"/>
      <c r="HC39" s="527"/>
      <c r="HD39" s="559"/>
    </row>
    <row r="40" spans="1:219" ht="20.100000000000001" customHeight="1">
      <c r="A40" s="878"/>
      <c r="B40" s="639"/>
      <c r="C40" s="639"/>
      <c r="D40" s="640" t="s">
        <v>415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511</v>
      </c>
      <c r="GV40" s="527"/>
      <c r="GW40" s="527"/>
      <c r="GX40" s="527"/>
      <c r="GY40" s="527"/>
      <c r="GZ40" s="527"/>
      <c r="HA40" s="883">
        <v>56.6</v>
      </c>
      <c r="HB40" s="414"/>
      <c r="HC40" s="527"/>
      <c r="HD40" s="577"/>
      <c r="HK40" s="416"/>
    </row>
    <row r="41" spans="1:219" ht="20.100000000000001" customHeight="1">
      <c r="A41" s="851" t="s">
        <v>416</v>
      </c>
      <c r="B41" s="731"/>
      <c r="C41" s="884"/>
      <c r="D41" s="884"/>
      <c r="E41" s="884"/>
      <c r="F41" s="885"/>
      <c r="G41" s="733"/>
      <c r="H41" s="660" t="s">
        <v>393</v>
      </c>
      <c r="I41" s="734"/>
      <c r="J41" s="660" t="s">
        <v>393</v>
      </c>
      <c r="K41" s="735"/>
      <c r="L41" s="660" t="s">
        <v>393</v>
      </c>
      <c r="M41" s="735"/>
      <c r="N41" s="660" t="s">
        <v>393</v>
      </c>
      <c r="O41" s="735"/>
      <c r="P41" s="660" t="s">
        <v>393</v>
      </c>
      <c r="Q41" s="735"/>
      <c r="R41" s="660" t="s">
        <v>393</v>
      </c>
      <c r="S41" s="735"/>
      <c r="T41" s="660" t="s">
        <v>393</v>
      </c>
      <c r="U41" s="735"/>
      <c r="V41" s="660" t="s">
        <v>393</v>
      </c>
      <c r="W41" s="735"/>
      <c r="X41" s="660" t="s">
        <v>393</v>
      </c>
      <c r="Y41" s="735" t="s">
        <v>404</v>
      </c>
      <c r="Z41" s="660" t="s">
        <v>393</v>
      </c>
      <c r="AA41" s="735" t="s">
        <v>404</v>
      </c>
      <c r="AB41" s="660" t="s">
        <v>393</v>
      </c>
      <c r="AC41" s="735"/>
      <c r="AD41" s="660" t="s">
        <v>393</v>
      </c>
      <c r="AE41" s="735"/>
      <c r="AF41" s="660" t="s">
        <v>393</v>
      </c>
      <c r="AG41" s="735"/>
      <c r="AH41" s="660" t="s">
        <v>393</v>
      </c>
      <c r="AI41" s="735"/>
      <c r="AJ41" s="660" t="s">
        <v>393</v>
      </c>
      <c r="AK41" s="735"/>
      <c r="AL41" s="660" t="s">
        <v>393</v>
      </c>
      <c r="AM41" s="735"/>
      <c r="AN41" s="660" t="s">
        <v>393</v>
      </c>
      <c r="AO41" s="735"/>
      <c r="AP41" s="660" t="s">
        <v>393</v>
      </c>
      <c r="AQ41" s="735"/>
      <c r="AR41" s="660" t="s">
        <v>393</v>
      </c>
      <c r="AS41" s="735"/>
      <c r="AT41" s="660" t="s">
        <v>393</v>
      </c>
      <c r="AU41" s="735"/>
      <c r="AV41" s="660" t="s">
        <v>393</v>
      </c>
      <c r="AW41" s="735"/>
      <c r="AX41" s="660" t="s">
        <v>393</v>
      </c>
      <c r="AY41" s="735"/>
      <c r="AZ41" s="660" t="s">
        <v>393</v>
      </c>
      <c r="BA41" s="735"/>
      <c r="BB41" s="662" t="s">
        <v>393</v>
      </c>
      <c r="BC41" s="716"/>
      <c r="BD41" s="851" t="s">
        <v>416</v>
      </c>
      <c r="BE41" s="731"/>
      <c r="BF41" s="884"/>
      <c r="BG41" s="884"/>
      <c r="BH41" s="884"/>
      <c r="BI41" s="885"/>
      <c r="BJ41" s="733"/>
      <c r="BK41" s="660" t="s">
        <v>393</v>
      </c>
      <c r="BL41" s="734"/>
      <c r="BM41" s="660" t="s">
        <v>393</v>
      </c>
      <c r="BN41" s="735"/>
      <c r="BO41" s="660" t="s">
        <v>393</v>
      </c>
      <c r="BP41" s="735"/>
      <c r="BQ41" s="660" t="s">
        <v>393</v>
      </c>
      <c r="BR41" s="735"/>
      <c r="BS41" s="660" t="s">
        <v>393</v>
      </c>
      <c r="BT41" s="735"/>
      <c r="BU41" s="660" t="s">
        <v>393</v>
      </c>
      <c r="BV41" s="735"/>
      <c r="BW41" s="660" t="s">
        <v>393</v>
      </c>
      <c r="BX41" s="735"/>
      <c r="BY41" s="660" t="s">
        <v>393</v>
      </c>
      <c r="BZ41" s="735"/>
      <c r="CA41" s="660" t="s">
        <v>393</v>
      </c>
      <c r="CB41" s="735" t="s">
        <v>404</v>
      </c>
      <c r="CC41" s="660" t="s">
        <v>393</v>
      </c>
      <c r="CD41" s="735" t="s">
        <v>404</v>
      </c>
      <c r="CE41" s="660" t="s">
        <v>393</v>
      </c>
      <c r="CF41" s="735"/>
      <c r="CG41" s="660" t="s">
        <v>393</v>
      </c>
      <c r="CH41" s="735"/>
      <c r="CI41" s="660" t="s">
        <v>393</v>
      </c>
      <c r="CJ41" s="735"/>
      <c r="CK41" s="660" t="s">
        <v>393</v>
      </c>
      <c r="CL41" s="735"/>
      <c r="CM41" s="660" t="s">
        <v>393</v>
      </c>
      <c r="CN41" s="735"/>
      <c r="CO41" s="660" t="s">
        <v>393</v>
      </c>
      <c r="CP41" s="735"/>
      <c r="CQ41" s="660" t="s">
        <v>393</v>
      </c>
      <c r="CR41" s="735"/>
      <c r="CS41" s="660" t="s">
        <v>393</v>
      </c>
      <c r="CT41" s="735"/>
      <c r="CU41" s="660" t="s">
        <v>393</v>
      </c>
      <c r="CV41" s="735"/>
      <c r="CW41" s="660" t="s">
        <v>393</v>
      </c>
      <c r="CX41" s="735"/>
      <c r="CY41" s="660" t="s">
        <v>393</v>
      </c>
      <c r="CZ41" s="735"/>
      <c r="DA41" s="660" t="s">
        <v>393</v>
      </c>
      <c r="DB41" s="735"/>
      <c r="DC41" s="660" t="s">
        <v>393</v>
      </c>
      <c r="DD41" s="735"/>
      <c r="DE41" s="662" t="s">
        <v>393</v>
      </c>
      <c r="DF41" s="716"/>
      <c r="DG41" s="851" t="s">
        <v>416</v>
      </c>
      <c r="DH41" s="731"/>
      <c r="DI41" s="884"/>
      <c r="DJ41" s="884"/>
      <c r="DK41" s="884"/>
      <c r="DL41" s="885"/>
      <c r="DM41" s="733"/>
      <c r="DN41" s="660" t="s">
        <v>393</v>
      </c>
      <c r="DO41" s="734"/>
      <c r="DP41" s="660" t="s">
        <v>393</v>
      </c>
      <c r="DQ41" s="735"/>
      <c r="DR41" s="660" t="s">
        <v>393</v>
      </c>
      <c r="DS41" s="735"/>
      <c r="DT41" s="660" t="s">
        <v>393</v>
      </c>
      <c r="DU41" s="735"/>
      <c r="DV41" s="660" t="s">
        <v>393</v>
      </c>
      <c r="DW41" s="735"/>
      <c r="DX41" s="660" t="s">
        <v>393</v>
      </c>
      <c r="DY41" s="735"/>
      <c r="DZ41" s="660" t="s">
        <v>393</v>
      </c>
      <c r="EA41" s="735"/>
      <c r="EB41" s="660" t="s">
        <v>393</v>
      </c>
      <c r="EC41" s="735"/>
      <c r="ED41" s="660" t="s">
        <v>393</v>
      </c>
      <c r="EE41" s="735" t="s">
        <v>404</v>
      </c>
      <c r="EF41" s="660" t="s">
        <v>393</v>
      </c>
      <c r="EG41" s="735" t="s">
        <v>404</v>
      </c>
      <c r="EH41" s="660" t="s">
        <v>393</v>
      </c>
      <c r="EI41" s="735"/>
      <c r="EJ41" s="660" t="s">
        <v>393</v>
      </c>
      <c r="EK41" s="735"/>
      <c r="EL41" s="660" t="s">
        <v>393</v>
      </c>
      <c r="EM41" s="735"/>
      <c r="EN41" s="660" t="s">
        <v>393</v>
      </c>
      <c r="EO41" s="735"/>
      <c r="EP41" s="660" t="s">
        <v>393</v>
      </c>
      <c r="EQ41" s="735"/>
      <c r="ER41" s="660" t="s">
        <v>393</v>
      </c>
      <c r="ES41" s="735"/>
      <c r="ET41" s="660" t="s">
        <v>393</v>
      </c>
      <c r="EU41" s="735"/>
      <c r="EV41" s="660" t="s">
        <v>393</v>
      </c>
      <c r="EW41" s="735"/>
      <c r="EX41" s="660" t="s">
        <v>393</v>
      </c>
      <c r="EY41" s="735"/>
      <c r="EZ41" s="660" t="s">
        <v>393</v>
      </c>
      <c r="FA41" s="735"/>
      <c r="FB41" s="660" t="s">
        <v>393</v>
      </c>
      <c r="FC41" s="735"/>
      <c r="FD41" s="660" t="s">
        <v>393</v>
      </c>
      <c r="FE41" s="735"/>
      <c r="FF41" s="660" t="s">
        <v>393</v>
      </c>
      <c r="FG41" s="735"/>
      <c r="FH41" s="662" t="s">
        <v>393</v>
      </c>
      <c r="FI41" s="739"/>
      <c r="FJ41" s="816" t="s">
        <v>416</v>
      </c>
      <c r="FK41" s="736"/>
      <c r="FL41" s="886"/>
      <c r="FM41" s="886"/>
      <c r="FN41" s="886"/>
      <c r="FO41" s="887"/>
      <c r="FP41" s="740"/>
      <c r="FQ41" s="666"/>
      <c r="FR41" s="660" t="s">
        <v>395</v>
      </c>
      <c r="FS41" s="741"/>
      <c r="FT41" s="666"/>
      <c r="FU41" s="668" t="s">
        <v>395</v>
      </c>
      <c r="FV41" s="590"/>
      <c r="FW41" s="591"/>
      <c r="FX41" s="799"/>
      <c r="FY41" s="593"/>
      <c r="FZ41" s="800"/>
      <c r="GA41" s="595"/>
      <c r="GB41" s="801"/>
      <c r="GC41" s="597"/>
      <c r="GD41" s="801"/>
      <c r="GE41" s="598"/>
      <c r="GF41" s="742"/>
      <c r="GG41" s="743"/>
      <c r="GH41" s="743"/>
      <c r="GI41" s="743"/>
      <c r="GJ41" s="577"/>
      <c r="GK41" s="888" t="s">
        <v>489</v>
      </c>
      <c r="GL41" s="889"/>
      <c r="GM41" s="890" t="s">
        <v>490</v>
      </c>
      <c r="GN41" s="890"/>
      <c r="GO41" s="890" t="s">
        <v>491</v>
      </c>
      <c r="GP41" s="890"/>
      <c r="GQ41" s="890"/>
      <c r="GR41" s="891"/>
      <c r="GS41" s="850"/>
      <c r="GT41" s="682"/>
      <c r="GU41" s="527" t="s">
        <v>512</v>
      </c>
      <c r="GV41" s="527"/>
      <c r="GW41" s="527"/>
      <c r="GX41" s="527"/>
      <c r="GY41" s="527"/>
      <c r="GZ41" s="527"/>
      <c r="HA41" s="883">
        <v>38.4</v>
      </c>
      <c r="HB41" s="414"/>
      <c r="HC41" s="527"/>
      <c r="HD41" s="410"/>
    </row>
    <row r="42" spans="1:219" ht="20.100000000000001" customHeight="1">
      <c r="A42" s="821"/>
      <c r="B42" s="892" t="s">
        <v>417</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417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417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417</v>
      </c>
      <c r="FL42" s="893"/>
      <c r="FM42" s="893"/>
      <c r="FN42" s="894"/>
      <c r="FO42" s="895"/>
      <c r="FP42" s="831"/>
      <c r="FQ42" s="827"/>
      <c r="FR42" s="826">
        <v>990</v>
      </c>
      <c r="FS42" s="832"/>
      <c r="FT42" s="827"/>
      <c r="FU42" s="798">
        <v>990</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418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492</v>
      </c>
      <c r="GL43" s="918"/>
      <c r="GM43" s="919" t="s">
        <v>493</v>
      </c>
      <c r="GN43" s="919"/>
      <c r="GO43" s="919" t="s">
        <v>494</v>
      </c>
      <c r="GP43" s="919"/>
      <c r="GQ43" s="919"/>
      <c r="GR43" s="920"/>
      <c r="GS43" s="577"/>
      <c r="GT43" s="606"/>
      <c r="GU43" s="527" t="s">
        <v>464</v>
      </c>
      <c r="GV43" s="414"/>
      <c r="GW43" s="410"/>
      <c r="GX43" s="414"/>
      <c r="GY43" s="414"/>
      <c r="GZ43" s="414"/>
      <c r="HA43" s="410"/>
      <c r="HB43" s="414"/>
      <c r="HC43" s="921"/>
      <c r="HD43" s="416"/>
    </row>
    <row r="44" spans="1:219" ht="20.100000000000001" customHeight="1" thickBot="1">
      <c r="A44" s="922"/>
      <c r="B44" s="639"/>
      <c r="C44" s="639"/>
      <c r="D44" s="640" t="s">
        <v>419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419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419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419</v>
      </c>
      <c r="FN44" s="639"/>
      <c r="FO44" s="639"/>
      <c r="FP44" s="647"/>
      <c r="FQ44" s="836"/>
      <c r="FR44" s="835">
        <v>990</v>
      </c>
      <c r="FS44" s="840"/>
      <c r="FT44" s="836"/>
      <c r="FU44" s="841">
        <v>990</v>
      </c>
      <c r="FV44" s="590" t="s">
        <v>322</v>
      </c>
      <c r="FW44" s="591"/>
      <c r="FX44" s="799" t="s">
        <v>323</v>
      </c>
      <c r="FY44" s="593"/>
      <c r="FZ44" s="800" t="s">
        <v>324</v>
      </c>
      <c r="GA44" s="595"/>
      <c r="GB44" s="801" t="s">
        <v>325</v>
      </c>
      <c r="GC44" s="597"/>
      <c r="GD44" s="801" t="s">
        <v>326</v>
      </c>
      <c r="GE44" s="598"/>
      <c r="GF44" s="651"/>
      <c r="GG44" s="652"/>
      <c r="GH44" s="652"/>
      <c r="GI44" s="652"/>
      <c r="GJ44" s="527"/>
      <c r="GK44" s="897"/>
      <c r="GL44" s="898"/>
      <c r="GM44" s="924">
        <v>4.5999999999999996</v>
      </c>
      <c r="GN44" s="924"/>
      <c r="GO44" s="924">
        <v>7</v>
      </c>
      <c r="GP44" s="924"/>
      <c r="GQ44" s="899">
        <v>11.6</v>
      </c>
      <c r="GR44" s="900"/>
      <c r="GS44" s="925"/>
      <c r="GT44" s="926"/>
      <c r="GU44" s="527" t="s">
        <v>495</v>
      </c>
      <c r="GV44" s="612"/>
      <c r="GW44" s="612"/>
      <c r="GX44" s="612"/>
      <c r="GY44" s="414"/>
      <c r="GZ44" s="414"/>
      <c r="HA44" s="744">
        <v>1.5</v>
      </c>
      <c r="HB44" s="414" t="s">
        <v>467</v>
      </c>
      <c r="HC44" s="927"/>
      <c r="HD44" s="416"/>
    </row>
    <row r="45" spans="1:219" ht="20.100000000000001" customHeight="1" thickTop="1">
      <c r="A45" s="928" t="s">
        <v>420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922</v>
      </c>
      <c r="Y45" s="933"/>
      <c r="Z45" s="932">
        <v>892</v>
      </c>
      <c r="AA45" s="933"/>
      <c r="AB45" s="932">
        <v>912</v>
      </c>
      <c r="AC45" s="933"/>
      <c r="AD45" s="932">
        <v>922</v>
      </c>
      <c r="AE45" s="933"/>
      <c r="AF45" s="932">
        <v>933</v>
      </c>
      <c r="AG45" s="933"/>
      <c r="AH45" s="932">
        <v>933</v>
      </c>
      <c r="AI45" s="933"/>
      <c r="AJ45" s="932">
        <v>911</v>
      </c>
      <c r="AK45" s="933"/>
      <c r="AL45" s="932">
        <v>902</v>
      </c>
      <c r="AM45" s="933"/>
      <c r="AN45" s="932">
        <v>868</v>
      </c>
      <c r="AO45" s="933"/>
      <c r="AP45" s="932">
        <v>846</v>
      </c>
      <c r="AQ45" s="933"/>
      <c r="AR45" s="932">
        <v>0</v>
      </c>
      <c r="AS45" s="933"/>
      <c r="AT45" s="932">
        <v>0</v>
      </c>
      <c r="AU45" s="933"/>
      <c r="AV45" s="932">
        <v>0</v>
      </c>
      <c r="AW45" s="933"/>
      <c r="AX45" s="932">
        <v>0</v>
      </c>
      <c r="AY45" s="933"/>
      <c r="AZ45" s="932">
        <v>0</v>
      </c>
      <c r="BA45" s="933"/>
      <c r="BB45" s="934">
        <v>0</v>
      </c>
      <c r="BC45" s="645"/>
      <c r="BD45" s="928" t="s">
        <v>420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910</v>
      </c>
      <c r="CB45" s="933"/>
      <c r="CC45" s="932">
        <v>869</v>
      </c>
      <c r="CD45" s="933"/>
      <c r="CE45" s="932">
        <v>901</v>
      </c>
      <c r="CF45" s="933"/>
      <c r="CG45" s="932">
        <v>910</v>
      </c>
      <c r="CH45" s="933"/>
      <c r="CI45" s="932">
        <v>917</v>
      </c>
      <c r="CJ45" s="933"/>
      <c r="CK45" s="932">
        <v>908</v>
      </c>
      <c r="CL45" s="933"/>
      <c r="CM45" s="932">
        <v>898</v>
      </c>
      <c r="CN45" s="933"/>
      <c r="CO45" s="932">
        <v>888</v>
      </c>
      <c r="CP45" s="933"/>
      <c r="CQ45" s="932">
        <v>868</v>
      </c>
      <c r="CR45" s="933"/>
      <c r="CS45" s="932">
        <v>836</v>
      </c>
      <c r="CT45" s="933"/>
      <c r="CU45" s="932">
        <v>0</v>
      </c>
      <c r="CV45" s="933"/>
      <c r="CW45" s="932">
        <v>0</v>
      </c>
      <c r="CX45" s="933"/>
      <c r="CY45" s="932">
        <v>0</v>
      </c>
      <c r="CZ45" s="933"/>
      <c r="DA45" s="932">
        <v>0</v>
      </c>
      <c r="DB45" s="933"/>
      <c r="DC45" s="932">
        <v>0</v>
      </c>
      <c r="DD45" s="933"/>
      <c r="DE45" s="934">
        <v>0</v>
      </c>
      <c r="DF45" s="645"/>
      <c r="DG45" s="928" t="s">
        <v>420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819</v>
      </c>
      <c r="EE45" s="933"/>
      <c r="EF45" s="932">
        <v>787</v>
      </c>
      <c r="EG45" s="933"/>
      <c r="EH45" s="932">
        <v>818</v>
      </c>
      <c r="EI45" s="933"/>
      <c r="EJ45" s="932">
        <v>838</v>
      </c>
      <c r="EK45" s="933"/>
      <c r="EL45" s="932">
        <v>840</v>
      </c>
      <c r="EM45" s="933"/>
      <c r="EN45" s="932">
        <v>829</v>
      </c>
      <c r="EO45" s="933"/>
      <c r="EP45" s="932">
        <v>821</v>
      </c>
      <c r="EQ45" s="933"/>
      <c r="ER45" s="932">
        <v>817</v>
      </c>
      <c r="ES45" s="933"/>
      <c r="ET45" s="932">
        <v>785</v>
      </c>
      <c r="EU45" s="933"/>
      <c r="EV45" s="932">
        <v>754</v>
      </c>
      <c r="EW45" s="933"/>
      <c r="EX45" s="932">
        <v>0</v>
      </c>
      <c r="EY45" s="933"/>
      <c r="EZ45" s="932">
        <v>0</v>
      </c>
      <c r="FA45" s="933"/>
      <c r="FB45" s="932">
        <v>0</v>
      </c>
      <c r="FC45" s="933"/>
      <c r="FD45" s="932">
        <v>0</v>
      </c>
      <c r="FE45" s="933"/>
      <c r="FF45" s="932">
        <v>0</v>
      </c>
      <c r="FG45" s="933"/>
      <c r="FH45" s="934">
        <v>0</v>
      </c>
      <c r="FI45" s="645"/>
      <c r="FJ45" s="928" t="s">
        <v>420</v>
      </c>
      <c r="FK45" s="929"/>
      <c r="FL45" s="929"/>
      <c r="FM45" s="929"/>
      <c r="FN45" s="929"/>
      <c r="FO45" s="930"/>
      <c r="FP45" s="935"/>
      <c r="FQ45" s="936"/>
      <c r="FR45" s="932">
        <v>1834</v>
      </c>
      <c r="FS45" s="937"/>
      <c r="FT45" s="936"/>
      <c r="FU45" s="938">
        <v>1850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496</v>
      </c>
      <c r="GV45" s="414"/>
      <c r="GW45" s="414"/>
      <c r="GX45" s="414"/>
      <c r="GY45" s="527"/>
      <c r="GZ45" s="726"/>
      <c r="HA45" s="744">
        <v>22</v>
      </c>
      <c r="HB45" s="414" t="s">
        <v>467</v>
      </c>
      <c r="HC45" s="927"/>
      <c r="HD45" s="416"/>
    </row>
    <row r="46" spans="1:219" ht="20.100000000000001" customHeight="1">
      <c r="A46" s="943" t="s">
        <v>421</v>
      </c>
      <c r="B46" s="944"/>
      <c r="C46" s="944"/>
      <c r="D46" s="944"/>
      <c r="E46" s="944"/>
      <c r="F46" s="945"/>
      <c r="G46" s="946" t="s">
        <v>422</v>
      </c>
      <c r="H46" s="947"/>
      <c r="I46" s="948" t="s">
        <v>422</v>
      </c>
      <c r="J46" s="947"/>
      <c r="K46" s="948" t="s">
        <v>422</v>
      </c>
      <c r="L46" s="947"/>
      <c r="M46" s="948" t="s">
        <v>422</v>
      </c>
      <c r="N46" s="947"/>
      <c r="O46" s="948" t="s">
        <v>422</v>
      </c>
      <c r="P46" s="947"/>
      <c r="Q46" s="948" t="s">
        <v>422</v>
      </c>
      <c r="R46" s="947"/>
      <c r="S46" s="948" t="s">
        <v>422</v>
      </c>
      <c r="T46" s="947"/>
      <c r="U46" s="948" t="s">
        <v>422</v>
      </c>
      <c r="V46" s="947"/>
      <c r="W46" s="948" t="s">
        <v>422</v>
      </c>
      <c r="X46" s="947"/>
      <c r="Y46" s="948" t="s">
        <v>422</v>
      </c>
      <c r="Z46" s="947"/>
      <c r="AA46" s="948" t="s">
        <v>422</v>
      </c>
      <c r="AB46" s="947"/>
      <c r="AC46" s="948" t="s">
        <v>422</v>
      </c>
      <c r="AD46" s="947"/>
      <c r="AE46" s="948" t="s">
        <v>422</v>
      </c>
      <c r="AF46" s="947"/>
      <c r="AG46" s="948" t="s">
        <v>422</v>
      </c>
      <c r="AH46" s="947"/>
      <c r="AI46" s="948" t="s">
        <v>422</v>
      </c>
      <c r="AJ46" s="947"/>
      <c r="AK46" s="948" t="s">
        <v>422</v>
      </c>
      <c r="AL46" s="947"/>
      <c r="AM46" s="948" t="s">
        <v>422</v>
      </c>
      <c r="AN46" s="947"/>
      <c r="AO46" s="948" t="s">
        <v>422</v>
      </c>
      <c r="AP46" s="947"/>
      <c r="AQ46" s="948" t="s">
        <v>422</v>
      </c>
      <c r="AR46" s="947"/>
      <c r="AS46" s="948" t="s">
        <v>422</v>
      </c>
      <c r="AT46" s="947"/>
      <c r="AU46" s="948" t="s">
        <v>422</v>
      </c>
      <c r="AV46" s="947"/>
      <c r="AW46" s="948" t="s">
        <v>422</v>
      </c>
      <c r="AX46" s="947"/>
      <c r="AY46" s="948" t="s">
        <v>422</v>
      </c>
      <c r="AZ46" s="949"/>
      <c r="BA46" s="950" t="s">
        <v>422</v>
      </c>
      <c r="BB46" s="951"/>
      <c r="BC46" s="952"/>
      <c r="BD46" s="943" t="s">
        <v>421</v>
      </c>
      <c r="BE46" s="944"/>
      <c r="BF46" s="944"/>
      <c r="BG46" s="944"/>
      <c r="BH46" s="944"/>
      <c r="BI46" s="945"/>
      <c r="BJ46" s="946" t="s">
        <v>422</v>
      </c>
      <c r="BK46" s="947"/>
      <c r="BL46" s="948" t="s">
        <v>422</v>
      </c>
      <c r="BM46" s="947"/>
      <c r="BN46" s="948" t="s">
        <v>422</v>
      </c>
      <c r="BO46" s="947"/>
      <c r="BP46" s="948" t="s">
        <v>422</v>
      </c>
      <c r="BQ46" s="947"/>
      <c r="BR46" s="948" t="s">
        <v>422</v>
      </c>
      <c r="BS46" s="947"/>
      <c r="BT46" s="948" t="s">
        <v>422</v>
      </c>
      <c r="BU46" s="947"/>
      <c r="BV46" s="948" t="s">
        <v>422</v>
      </c>
      <c r="BW46" s="947"/>
      <c r="BX46" s="948" t="s">
        <v>422</v>
      </c>
      <c r="BY46" s="947"/>
      <c r="BZ46" s="948" t="s">
        <v>422</v>
      </c>
      <c r="CA46" s="947"/>
      <c r="CB46" s="948" t="s">
        <v>422</v>
      </c>
      <c r="CC46" s="947"/>
      <c r="CD46" s="948" t="s">
        <v>422</v>
      </c>
      <c r="CE46" s="947"/>
      <c r="CF46" s="948" t="s">
        <v>422</v>
      </c>
      <c r="CG46" s="947"/>
      <c r="CH46" s="948" t="s">
        <v>422</v>
      </c>
      <c r="CI46" s="947"/>
      <c r="CJ46" s="948" t="s">
        <v>422</v>
      </c>
      <c r="CK46" s="947"/>
      <c r="CL46" s="948" t="s">
        <v>422</v>
      </c>
      <c r="CM46" s="947"/>
      <c r="CN46" s="948" t="s">
        <v>422</v>
      </c>
      <c r="CO46" s="947"/>
      <c r="CP46" s="948" t="s">
        <v>422</v>
      </c>
      <c r="CQ46" s="947"/>
      <c r="CR46" s="948" t="s">
        <v>422</v>
      </c>
      <c r="CS46" s="947"/>
      <c r="CT46" s="948" t="s">
        <v>422</v>
      </c>
      <c r="CU46" s="947"/>
      <c r="CV46" s="948" t="s">
        <v>422</v>
      </c>
      <c r="CW46" s="947"/>
      <c r="CX46" s="948" t="s">
        <v>422</v>
      </c>
      <c r="CY46" s="947"/>
      <c r="CZ46" s="948" t="s">
        <v>422</v>
      </c>
      <c r="DA46" s="947"/>
      <c r="DB46" s="948" t="s">
        <v>422</v>
      </c>
      <c r="DC46" s="949"/>
      <c r="DD46" s="950" t="s">
        <v>422</v>
      </c>
      <c r="DE46" s="951"/>
      <c r="DF46" s="952"/>
      <c r="DG46" s="943" t="s">
        <v>421</v>
      </c>
      <c r="DH46" s="944"/>
      <c r="DI46" s="944"/>
      <c r="DJ46" s="944"/>
      <c r="DK46" s="944"/>
      <c r="DL46" s="945"/>
      <c r="DM46" s="946" t="s">
        <v>422</v>
      </c>
      <c r="DN46" s="947"/>
      <c r="DO46" s="948" t="s">
        <v>422</v>
      </c>
      <c r="DP46" s="947"/>
      <c r="DQ46" s="948" t="s">
        <v>422</v>
      </c>
      <c r="DR46" s="947"/>
      <c r="DS46" s="948" t="s">
        <v>422</v>
      </c>
      <c r="DT46" s="947"/>
      <c r="DU46" s="948" t="s">
        <v>422</v>
      </c>
      <c r="DV46" s="947"/>
      <c r="DW46" s="948" t="s">
        <v>422</v>
      </c>
      <c r="DX46" s="947"/>
      <c r="DY46" s="948" t="s">
        <v>422</v>
      </c>
      <c r="DZ46" s="947"/>
      <c r="EA46" s="948" t="s">
        <v>422</v>
      </c>
      <c r="EB46" s="947"/>
      <c r="EC46" s="948" t="s">
        <v>422</v>
      </c>
      <c r="ED46" s="947"/>
      <c r="EE46" s="948" t="s">
        <v>422</v>
      </c>
      <c r="EF46" s="947"/>
      <c r="EG46" s="948" t="s">
        <v>422</v>
      </c>
      <c r="EH46" s="947"/>
      <c r="EI46" s="948" t="s">
        <v>422</v>
      </c>
      <c r="EJ46" s="947"/>
      <c r="EK46" s="948" t="s">
        <v>422</v>
      </c>
      <c r="EL46" s="947"/>
      <c r="EM46" s="948" t="s">
        <v>422</v>
      </c>
      <c r="EN46" s="947"/>
      <c r="EO46" s="948" t="s">
        <v>422</v>
      </c>
      <c r="EP46" s="947"/>
      <c r="EQ46" s="948" t="s">
        <v>422</v>
      </c>
      <c r="ER46" s="947"/>
      <c r="ES46" s="948" t="s">
        <v>422</v>
      </c>
      <c r="ET46" s="947"/>
      <c r="EU46" s="948" t="s">
        <v>422</v>
      </c>
      <c r="EV46" s="947"/>
      <c r="EW46" s="948" t="s">
        <v>422</v>
      </c>
      <c r="EX46" s="947"/>
      <c r="EY46" s="948" t="s">
        <v>422</v>
      </c>
      <c r="EZ46" s="947"/>
      <c r="FA46" s="948" t="s">
        <v>422</v>
      </c>
      <c r="FB46" s="947"/>
      <c r="FC46" s="948" t="s">
        <v>422</v>
      </c>
      <c r="FD46" s="947"/>
      <c r="FE46" s="948" t="s">
        <v>422</v>
      </c>
      <c r="FF46" s="949"/>
      <c r="FG46" s="950" t="s">
        <v>422</v>
      </c>
      <c r="FH46" s="951"/>
      <c r="FI46" s="952"/>
      <c r="FJ46" s="943" t="s">
        <v>423</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497</v>
      </c>
      <c r="GL46" s="414"/>
      <c r="GM46" s="743"/>
      <c r="GN46" s="743"/>
      <c r="GO46" s="743"/>
      <c r="GP46" s="743"/>
      <c r="GQ46" s="743"/>
      <c r="GR46" s="850"/>
      <c r="GS46" s="577"/>
      <c r="GT46" s="756"/>
      <c r="GU46" s="767" t="s">
        <v>498</v>
      </c>
      <c r="GV46" s="767"/>
      <c r="GW46" s="767"/>
      <c r="GX46" s="767"/>
      <c r="GY46" s="612"/>
      <c r="GZ46" s="768"/>
      <c r="HA46" s="744">
        <v>20.5</v>
      </c>
      <c r="HB46" s="414" t="s">
        <v>467</v>
      </c>
      <c r="HC46" s="927"/>
      <c r="HD46" s="416"/>
    </row>
    <row r="47" spans="1:219" ht="20.100000000000001" customHeight="1" thickBot="1">
      <c r="A47" s="959" t="s">
        <v>424</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968</v>
      </c>
      <c r="Y47" s="965"/>
      <c r="Z47" s="964">
        <v>937</v>
      </c>
      <c r="AA47" s="965"/>
      <c r="AB47" s="964">
        <v>958</v>
      </c>
      <c r="AC47" s="965"/>
      <c r="AD47" s="964">
        <v>968</v>
      </c>
      <c r="AE47" s="965"/>
      <c r="AF47" s="964">
        <v>980</v>
      </c>
      <c r="AG47" s="965"/>
      <c r="AH47" s="964">
        <v>980</v>
      </c>
      <c r="AI47" s="965"/>
      <c r="AJ47" s="964">
        <v>957</v>
      </c>
      <c r="AK47" s="965"/>
      <c r="AL47" s="964">
        <v>947</v>
      </c>
      <c r="AM47" s="965"/>
      <c r="AN47" s="964">
        <v>911</v>
      </c>
      <c r="AO47" s="965"/>
      <c r="AP47" s="964">
        <v>888</v>
      </c>
      <c r="AQ47" s="965"/>
      <c r="AR47" s="964">
        <v>0</v>
      </c>
      <c r="AS47" s="965"/>
      <c r="AT47" s="964">
        <v>0</v>
      </c>
      <c r="AU47" s="965"/>
      <c r="AV47" s="964">
        <v>0</v>
      </c>
      <c r="AW47" s="965"/>
      <c r="AX47" s="964">
        <v>0</v>
      </c>
      <c r="AY47" s="966"/>
      <c r="AZ47" s="967">
        <v>0</v>
      </c>
      <c r="BA47" s="968"/>
      <c r="BB47" s="969">
        <v>0</v>
      </c>
      <c r="BC47" s="970"/>
      <c r="BD47" s="959" t="s">
        <v>424</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956</v>
      </c>
      <c r="CB47" s="965"/>
      <c r="CC47" s="964">
        <v>912</v>
      </c>
      <c r="CD47" s="965"/>
      <c r="CE47" s="964">
        <v>946</v>
      </c>
      <c r="CF47" s="965"/>
      <c r="CG47" s="964">
        <v>956</v>
      </c>
      <c r="CH47" s="965"/>
      <c r="CI47" s="964">
        <v>963</v>
      </c>
      <c r="CJ47" s="965"/>
      <c r="CK47" s="964">
        <v>953</v>
      </c>
      <c r="CL47" s="965"/>
      <c r="CM47" s="964">
        <v>943</v>
      </c>
      <c r="CN47" s="965"/>
      <c r="CO47" s="964">
        <v>932</v>
      </c>
      <c r="CP47" s="965"/>
      <c r="CQ47" s="964">
        <v>911</v>
      </c>
      <c r="CR47" s="965"/>
      <c r="CS47" s="964">
        <v>878</v>
      </c>
      <c r="CT47" s="965"/>
      <c r="CU47" s="964">
        <v>0</v>
      </c>
      <c r="CV47" s="965"/>
      <c r="CW47" s="964">
        <v>0</v>
      </c>
      <c r="CX47" s="965"/>
      <c r="CY47" s="964">
        <v>0</v>
      </c>
      <c r="CZ47" s="965"/>
      <c r="DA47" s="964">
        <v>0</v>
      </c>
      <c r="DB47" s="966"/>
      <c r="DC47" s="967">
        <v>0</v>
      </c>
      <c r="DD47" s="968"/>
      <c r="DE47" s="969">
        <v>0</v>
      </c>
      <c r="DF47" s="970"/>
      <c r="DG47" s="959" t="s">
        <v>424</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860</v>
      </c>
      <c r="EE47" s="965"/>
      <c r="EF47" s="964">
        <v>826</v>
      </c>
      <c r="EG47" s="965"/>
      <c r="EH47" s="964">
        <v>859</v>
      </c>
      <c r="EI47" s="965"/>
      <c r="EJ47" s="964">
        <v>880</v>
      </c>
      <c r="EK47" s="965"/>
      <c r="EL47" s="964">
        <v>882</v>
      </c>
      <c r="EM47" s="965"/>
      <c r="EN47" s="964">
        <v>870</v>
      </c>
      <c r="EO47" s="965"/>
      <c r="EP47" s="964">
        <v>862</v>
      </c>
      <c r="EQ47" s="965"/>
      <c r="ER47" s="964">
        <v>858</v>
      </c>
      <c r="ES47" s="965"/>
      <c r="ET47" s="964">
        <v>824</v>
      </c>
      <c r="EU47" s="965"/>
      <c r="EV47" s="964">
        <v>792</v>
      </c>
      <c r="EW47" s="965"/>
      <c r="EX47" s="964">
        <v>0</v>
      </c>
      <c r="EY47" s="965"/>
      <c r="EZ47" s="964">
        <v>0</v>
      </c>
      <c r="FA47" s="965"/>
      <c r="FB47" s="964">
        <v>0</v>
      </c>
      <c r="FC47" s="965"/>
      <c r="FD47" s="964">
        <v>0</v>
      </c>
      <c r="FE47" s="966"/>
      <c r="FF47" s="967">
        <v>0</v>
      </c>
      <c r="FG47" s="968"/>
      <c r="FH47" s="969">
        <v>0</v>
      </c>
      <c r="FI47" s="970"/>
      <c r="FJ47" s="959" t="s">
        <v>424</v>
      </c>
      <c r="FK47" s="960"/>
      <c r="FL47" s="960"/>
      <c r="FM47" s="961"/>
      <c r="FN47" s="962"/>
      <c r="FO47" s="962"/>
      <c r="FP47" s="971"/>
      <c r="FQ47" s="972"/>
      <c r="FR47" s="964">
        <v>1834</v>
      </c>
      <c r="FS47" s="973"/>
      <c r="FT47" s="972"/>
      <c r="FU47" s="974">
        <v>1850</v>
      </c>
      <c r="FV47" s="975">
        <v>14</v>
      </c>
      <c r="FW47" s="964">
        <v>980</v>
      </c>
      <c r="FX47" s="976">
        <v>13</v>
      </c>
      <c r="FY47" s="964">
        <v>963</v>
      </c>
      <c r="FZ47" s="976">
        <v>13</v>
      </c>
      <c r="GA47" s="964">
        <v>882</v>
      </c>
      <c r="GB47" s="977" t="s">
        <v>533</v>
      </c>
      <c r="GC47" s="964">
        <v>980</v>
      </c>
      <c r="GD47" s="977" t="s">
        <v>356</v>
      </c>
      <c r="GE47" s="978">
        <v>1850</v>
      </c>
      <c r="GF47" s="681"/>
      <c r="GG47" s="979"/>
      <c r="GH47" s="979"/>
      <c r="GI47" s="979"/>
      <c r="GJ47" s="882"/>
      <c r="GK47" s="414" t="s">
        <v>499</v>
      </c>
      <c r="GL47" s="882"/>
      <c r="GM47" s="527"/>
      <c r="GN47" s="882"/>
      <c r="GO47" s="527"/>
      <c r="GP47" s="527"/>
      <c r="GQ47" s="527"/>
      <c r="GR47" s="882"/>
      <c r="GS47" s="527"/>
      <c r="GT47" s="756"/>
      <c r="GU47" s="767" t="s">
        <v>500</v>
      </c>
      <c r="GV47" s="767"/>
      <c r="GW47" s="767"/>
      <c r="GX47" s="767"/>
      <c r="GY47" s="527"/>
      <c r="GZ47" s="414"/>
      <c r="HA47" s="771">
        <v>0</v>
      </c>
      <c r="HB47" s="414"/>
      <c r="HC47" s="970"/>
      <c r="HD47" s="416"/>
    </row>
    <row r="48" spans="1:219" ht="20.100000000000001" customHeight="1">
      <c r="A48" s="980" t="s">
        <v>425</v>
      </c>
      <c r="B48" s="981" t="s">
        <v>426</v>
      </c>
      <c r="C48" s="884"/>
      <c r="D48" s="814"/>
      <c r="E48" s="814"/>
      <c r="F48" s="815"/>
      <c r="G48" s="733" t="s">
        <v>427</v>
      </c>
      <c r="H48" s="660" t="s">
        <v>393</v>
      </c>
      <c r="I48" s="735" t="s">
        <v>427</v>
      </c>
      <c r="J48" s="982" t="s">
        <v>393</v>
      </c>
      <c r="K48" s="735" t="s">
        <v>427</v>
      </c>
      <c r="L48" s="982" t="s">
        <v>393</v>
      </c>
      <c r="M48" s="735" t="s">
        <v>427</v>
      </c>
      <c r="N48" s="982" t="s">
        <v>393</v>
      </c>
      <c r="O48" s="735" t="s">
        <v>427</v>
      </c>
      <c r="P48" s="982" t="s">
        <v>393</v>
      </c>
      <c r="Q48" s="735" t="s">
        <v>427</v>
      </c>
      <c r="R48" s="982" t="s">
        <v>393</v>
      </c>
      <c r="S48" s="735" t="s">
        <v>427</v>
      </c>
      <c r="T48" s="982" t="s">
        <v>393</v>
      </c>
      <c r="U48" s="735" t="s">
        <v>427</v>
      </c>
      <c r="V48" s="982" t="s">
        <v>393</v>
      </c>
      <c r="W48" s="735" t="s">
        <v>427</v>
      </c>
      <c r="X48" s="982" t="s">
        <v>393</v>
      </c>
      <c r="Y48" s="735" t="s">
        <v>427</v>
      </c>
      <c r="Z48" s="982" t="s">
        <v>393</v>
      </c>
      <c r="AA48" s="735" t="s">
        <v>427</v>
      </c>
      <c r="AB48" s="982" t="s">
        <v>393</v>
      </c>
      <c r="AC48" s="735" t="s">
        <v>427</v>
      </c>
      <c r="AD48" s="982" t="s">
        <v>393</v>
      </c>
      <c r="AE48" s="735" t="s">
        <v>427</v>
      </c>
      <c r="AF48" s="982" t="s">
        <v>393</v>
      </c>
      <c r="AG48" s="735" t="s">
        <v>427</v>
      </c>
      <c r="AH48" s="982" t="s">
        <v>393</v>
      </c>
      <c r="AI48" s="735" t="s">
        <v>427</v>
      </c>
      <c r="AJ48" s="982" t="s">
        <v>393</v>
      </c>
      <c r="AK48" s="735" t="s">
        <v>427</v>
      </c>
      <c r="AL48" s="982" t="s">
        <v>393</v>
      </c>
      <c r="AM48" s="735" t="s">
        <v>427</v>
      </c>
      <c r="AN48" s="982" t="s">
        <v>393</v>
      </c>
      <c r="AO48" s="735" t="s">
        <v>427</v>
      </c>
      <c r="AP48" s="982" t="s">
        <v>393</v>
      </c>
      <c r="AQ48" s="735" t="s">
        <v>427</v>
      </c>
      <c r="AR48" s="982" t="s">
        <v>393</v>
      </c>
      <c r="AS48" s="735" t="s">
        <v>427</v>
      </c>
      <c r="AT48" s="982" t="s">
        <v>393</v>
      </c>
      <c r="AU48" s="735" t="s">
        <v>427</v>
      </c>
      <c r="AV48" s="982" t="s">
        <v>393</v>
      </c>
      <c r="AW48" s="735" t="s">
        <v>427</v>
      </c>
      <c r="AX48" s="982" t="s">
        <v>393</v>
      </c>
      <c r="AY48" s="735" t="s">
        <v>427</v>
      </c>
      <c r="AZ48" s="983" t="s">
        <v>393</v>
      </c>
      <c r="BA48" s="984" t="s">
        <v>427</v>
      </c>
      <c r="BB48" s="985" t="s">
        <v>393</v>
      </c>
      <c r="BC48" s="921"/>
      <c r="BD48" s="980" t="s">
        <v>425</v>
      </c>
      <c r="BE48" s="981" t="s">
        <v>426</v>
      </c>
      <c r="BF48" s="884"/>
      <c r="BG48" s="814"/>
      <c r="BH48" s="814"/>
      <c r="BI48" s="815"/>
      <c r="BJ48" s="733" t="s">
        <v>427</v>
      </c>
      <c r="BK48" s="660" t="s">
        <v>393</v>
      </c>
      <c r="BL48" s="735" t="s">
        <v>427</v>
      </c>
      <c r="BM48" s="982" t="s">
        <v>393</v>
      </c>
      <c r="BN48" s="735" t="s">
        <v>427</v>
      </c>
      <c r="BO48" s="982" t="s">
        <v>393</v>
      </c>
      <c r="BP48" s="735" t="s">
        <v>427</v>
      </c>
      <c r="BQ48" s="982" t="s">
        <v>393</v>
      </c>
      <c r="BR48" s="735" t="s">
        <v>427</v>
      </c>
      <c r="BS48" s="982" t="s">
        <v>393</v>
      </c>
      <c r="BT48" s="735" t="s">
        <v>427</v>
      </c>
      <c r="BU48" s="982" t="s">
        <v>393</v>
      </c>
      <c r="BV48" s="735" t="s">
        <v>427</v>
      </c>
      <c r="BW48" s="982" t="s">
        <v>393</v>
      </c>
      <c r="BX48" s="735" t="s">
        <v>427</v>
      </c>
      <c r="BY48" s="982" t="s">
        <v>393</v>
      </c>
      <c r="BZ48" s="735" t="s">
        <v>427</v>
      </c>
      <c r="CA48" s="982" t="s">
        <v>393</v>
      </c>
      <c r="CB48" s="735" t="s">
        <v>427</v>
      </c>
      <c r="CC48" s="982" t="s">
        <v>393</v>
      </c>
      <c r="CD48" s="735" t="s">
        <v>427</v>
      </c>
      <c r="CE48" s="982" t="s">
        <v>393</v>
      </c>
      <c r="CF48" s="735" t="s">
        <v>427</v>
      </c>
      <c r="CG48" s="982" t="s">
        <v>393</v>
      </c>
      <c r="CH48" s="735" t="s">
        <v>427</v>
      </c>
      <c r="CI48" s="982" t="s">
        <v>393</v>
      </c>
      <c r="CJ48" s="735" t="s">
        <v>427</v>
      </c>
      <c r="CK48" s="982" t="s">
        <v>393</v>
      </c>
      <c r="CL48" s="735" t="s">
        <v>427</v>
      </c>
      <c r="CM48" s="982" t="s">
        <v>393</v>
      </c>
      <c r="CN48" s="735" t="s">
        <v>427</v>
      </c>
      <c r="CO48" s="982" t="s">
        <v>393</v>
      </c>
      <c r="CP48" s="735" t="s">
        <v>427</v>
      </c>
      <c r="CQ48" s="982" t="s">
        <v>393</v>
      </c>
      <c r="CR48" s="735" t="s">
        <v>427</v>
      </c>
      <c r="CS48" s="982" t="s">
        <v>393</v>
      </c>
      <c r="CT48" s="735" t="s">
        <v>427</v>
      </c>
      <c r="CU48" s="982" t="s">
        <v>393</v>
      </c>
      <c r="CV48" s="735" t="s">
        <v>427</v>
      </c>
      <c r="CW48" s="982" t="s">
        <v>393</v>
      </c>
      <c r="CX48" s="735" t="s">
        <v>427</v>
      </c>
      <c r="CY48" s="982" t="s">
        <v>393</v>
      </c>
      <c r="CZ48" s="735" t="s">
        <v>427</v>
      </c>
      <c r="DA48" s="982" t="s">
        <v>393</v>
      </c>
      <c r="DB48" s="735" t="s">
        <v>427</v>
      </c>
      <c r="DC48" s="983" t="s">
        <v>393</v>
      </c>
      <c r="DD48" s="984" t="s">
        <v>427</v>
      </c>
      <c r="DE48" s="985" t="s">
        <v>393</v>
      </c>
      <c r="DF48" s="921"/>
      <c r="DG48" s="980" t="s">
        <v>425</v>
      </c>
      <c r="DH48" s="981" t="s">
        <v>426</v>
      </c>
      <c r="DI48" s="884"/>
      <c r="DJ48" s="814"/>
      <c r="DK48" s="814"/>
      <c r="DL48" s="815"/>
      <c r="DM48" s="733" t="s">
        <v>427</v>
      </c>
      <c r="DN48" s="660" t="s">
        <v>393</v>
      </c>
      <c r="DO48" s="735" t="s">
        <v>427</v>
      </c>
      <c r="DP48" s="982" t="s">
        <v>393</v>
      </c>
      <c r="DQ48" s="735" t="s">
        <v>427</v>
      </c>
      <c r="DR48" s="982" t="s">
        <v>393</v>
      </c>
      <c r="DS48" s="735" t="s">
        <v>427</v>
      </c>
      <c r="DT48" s="982" t="s">
        <v>393</v>
      </c>
      <c r="DU48" s="735" t="s">
        <v>427</v>
      </c>
      <c r="DV48" s="982" t="s">
        <v>393</v>
      </c>
      <c r="DW48" s="735" t="s">
        <v>427</v>
      </c>
      <c r="DX48" s="982" t="s">
        <v>393</v>
      </c>
      <c r="DY48" s="735" t="s">
        <v>427</v>
      </c>
      <c r="DZ48" s="982" t="s">
        <v>393</v>
      </c>
      <c r="EA48" s="735" t="s">
        <v>427</v>
      </c>
      <c r="EB48" s="982" t="s">
        <v>393</v>
      </c>
      <c r="EC48" s="735" t="s">
        <v>427</v>
      </c>
      <c r="ED48" s="982" t="s">
        <v>393</v>
      </c>
      <c r="EE48" s="735" t="s">
        <v>427</v>
      </c>
      <c r="EF48" s="982" t="s">
        <v>393</v>
      </c>
      <c r="EG48" s="735" t="s">
        <v>427</v>
      </c>
      <c r="EH48" s="982" t="s">
        <v>393</v>
      </c>
      <c r="EI48" s="735" t="s">
        <v>427</v>
      </c>
      <c r="EJ48" s="982" t="s">
        <v>393</v>
      </c>
      <c r="EK48" s="735" t="s">
        <v>427</v>
      </c>
      <c r="EL48" s="982" t="s">
        <v>393</v>
      </c>
      <c r="EM48" s="735" t="s">
        <v>427</v>
      </c>
      <c r="EN48" s="982" t="s">
        <v>393</v>
      </c>
      <c r="EO48" s="735" t="s">
        <v>427</v>
      </c>
      <c r="EP48" s="982" t="s">
        <v>393</v>
      </c>
      <c r="EQ48" s="735" t="s">
        <v>427</v>
      </c>
      <c r="ER48" s="982" t="s">
        <v>393</v>
      </c>
      <c r="ES48" s="735" t="s">
        <v>427</v>
      </c>
      <c r="ET48" s="982" t="s">
        <v>393</v>
      </c>
      <c r="EU48" s="735" t="s">
        <v>427</v>
      </c>
      <c r="EV48" s="982" t="s">
        <v>393</v>
      </c>
      <c r="EW48" s="735" t="s">
        <v>427</v>
      </c>
      <c r="EX48" s="982" t="s">
        <v>393</v>
      </c>
      <c r="EY48" s="735" t="s">
        <v>427</v>
      </c>
      <c r="EZ48" s="982" t="s">
        <v>393</v>
      </c>
      <c r="FA48" s="735" t="s">
        <v>427</v>
      </c>
      <c r="FB48" s="982" t="s">
        <v>393</v>
      </c>
      <c r="FC48" s="735" t="s">
        <v>427</v>
      </c>
      <c r="FD48" s="982" t="s">
        <v>393</v>
      </c>
      <c r="FE48" s="735" t="s">
        <v>427</v>
      </c>
      <c r="FF48" s="983" t="s">
        <v>393</v>
      </c>
      <c r="FG48" s="984" t="s">
        <v>427</v>
      </c>
      <c r="FH48" s="985" t="s">
        <v>393</v>
      </c>
      <c r="FI48" s="921"/>
      <c r="FJ48" s="980" t="s">
        <v>425</v>
      </c>
      <c r="FK48" s="731" t="s">
        <v>426</v>
      </c>
      <c r="FL48" s="884"/>
      <c r="FM48" s="814"/>
      <c r="FN48" s="814"/>
      <c r="FO48" s="815"/>
      <c r="FP48" s="740" t="s">
        <v>394</v>
      </c>
      <c r="FQ48" s="666" t="s">
        <v>427</v>
      </c>
      <c r="FR48" s="660" t="s">
        <v>395</v>
      </c>
      <c r="FS48" s="986" t="s">
        <v>394</v>
      </c>
      <c r="FT48" s="666" t="s">
        <v>427</v>
      </c>
      <c r="FU48" s="987" t="s">
        <v>395</v>
      </c>
      <c r="FV48" s="988"/>
      <c r="FW48" s="982" t="s">
        <v>319</v>
      </c>
      <c r="FX48" s="986"/>
      <c r="FY48" s="982" t="s">
        <v>319</v>
      </c>
      <c r="FZ48" s="986"/>
      <c r="GA48" s="982" t="s">
        <v>319</v>
      </c>
      <c r="GB48" s="986"/>
      <c r="GC48" s="982" t="s">
        <v>319</v>
      </c>
      <c r="GD48" s="986"/>
      <c r="GE48" s="989" t="s">
        <v>320</v>
      </c>
      <c r="GF48" s="681"/>
      <c r="GG48" s="652"/>
      <c r="GH48" s="652"/>
      <c r="GI48" s="652"/>
      <c r="GJ48" s="527"/>
      <c r="GK48" s="612" t="s">
        <v>501</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396</v>
      </c>
      <c r="C49" s="991"/>
      <c r="D49" s="747">
        <v>53</v>
      </c>
      <c r="E49" s="748">
        <v>4</v>
      </c>
      <c r="F49" s="992" t="s">
        <v>397</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396</v>
      </c>
      <c r="BF49" s="991"/>
      <c r="BG49" s="747"/>
      <c r="BH49" s="748">
        <v>4</v>
      </c>
      <c r="BI49" s="992" t="s">
        <v>397</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396</v>
      </c>
      <c r="DI49" s="991"/>
      <c r="DJ49" s="747"/>
      <c r="DK49" s="748">
        <v>4</v>
      </c>
      <c r="DL49" s="992" t="s">
        <v>397</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396</v>
      </c>
      <c r="FL49" s="991"/>
      <c r="FM49" s="752"/>
      <c r="FN49" s="748">
        <v>0</v>
      </c>
      <c r="FO49" s="992"/>
      <c r="FP49" s="678"/>
      <c r="FQ49" s="753"/>
      <c r="FR49" s="584">
        <v>0</v>
      </c>
      <c r="FS49" s="754"/>
      <c r="FT49" s="753"/>
      <c r="FU49" s="564">
        <v>0</v>
      </c>
      <c r="FV49" s="997" t="s">
        <v>327</v>
      </c>
      <c r="FW49" s="998"/>
      <c r="FX49" s="999" t="s">
        <v>328</v>
      </c>
      <c r="FY49" s="1000"/>
      <c r="FZ49" s="1001" t="s">
        <v>329</v>
      </c>
      <c r="GA49" s="1002"/>
      <c r="GB49" s="1003" t="s">
        <v>330</v>
      </c>
      <c r="GC49" s="1004"/>
      <c r="GD49" s="1003" t="s">
        <v>331</v>
      </c>
      <c r="GE49" s="1005"/>
      <c r="GF49" s="681"/>
      <c r="GG49" s="599"/>
      <c r="GH49" s="599"/>
      <c r="GI49" s="599"/>
      <c r="GJ49" s="577"/>
      <c r="GK49" s="414" t="s">
        <v>502</v>
      </c>
      <c r="GL49" s="577"/>
      <c r="GM49" s="414"/>
      <c r="GN49" s="577"/>
      <c r="GO49" s="414"/>
      <c r="GP49" s="414"/>
      <c r="GQ49" s="414"/>
      <c r="GR49" s="577"/>
      <c r="GS49" s="527"/>
      <c r="GT49" s="850"/>
      <c r="GU49" s="527" t="s">
        <v>480</v>
      </c>
      <c r="GV49" s="612"/>
      <c r="GW49" s="527"/>
      <c r="GX49" s="612"/>
      <c r="GY49" s="527"/>
      <c r="GZ49" s="392"/>
      <c r="HA49" s="577"/>
      <c r="HB49" s="392"/>
      <c r="HC49" s="1006"/>
      <c r="HD49" s="416"/>
    </row>
    <row r="50" spans="1:212" ht="20.100000000000001" customHeight="1">
      <c r="A50" s="990"/>
      <c r="B50" s="757" t="s">
        <v>403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503</v>
      </c>
      <c r="GL50" s="577"/>
      <c r="GM50" s="414"/>
      <c r="GN50" s="577"/>
      <c r="GO50" s="414"/>
      <c r="GP50" s="414"/>
      <c r="GQ50" s="414"/>
      <c r="GR50" s="577"/>
      <c r="GS50" s="942"/>
      <c r="GT50" s="926"/>
      <c r="GU50" s="577" t="s">
        <v>542</v>
      </c>
      <c r="GV50" s="577"/>
      <c r="GW50" s="577"/>
      <c r="GX50" s="577"/>
      <c r="GY50" s="612"/>
      <c r="GZ50" s="576"/>
      <c r="HA50" s="612">
        <v>36.6</v>
      </c>
      <c r="HB50" s="576" t="s">
        <v>462</v>
      </c>
      <c r="HC50" s="1027"/>
      <c r="HD50" s="416"/>
    </row>
    <row r="51" spans="1:212" ht="20.100000000000001" customHeight="1" thickBot="1">
      <c r="A51" s="1028"/>
      <c r="B51" s="463" t="s">
        <v>428</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428</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428</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428</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394</v>
      </c>
      <c r="GM51" s="1036" t="s">
        <v>505</v>
      </c>
      <c r="GN51" s="1037" t="s">
        <v>506</v>
      </c>
      <c r="GO51" s="1038" t="s">
        <v>507</v>
      </c>
      <c r="GP51" s="1038" t="s">
        <v>486</v>
      </c>
      <c r="GQ51" s="1039" t="s">
        <v>487</v>
      </c>
      <c r="GR51" s="726"/>
      <c r="GS51" s="942"/>
      <c r="GT51" s="756"/>
      <c r="GU51" s="577" t="s">
        <v>508</v>
      </c>
      <c r="GV51" s="577"/>
      <c r="GW51" s="577"/>
      <c r="GX51" s="577"/>
      <c r="GY51" s="414"/>
      <c r="GZ51" s="1040"/>
      <c r="HA51" s="612">
        <v>36.6</v>
      </c>
      <c r="HB51" s="576" t="s">
        <v>462</v>
      </c>
      <c r="HC51" s="1041"/>
      <c r="HD51" s="416"/>
    </row>
    <row r="52" spans="1:212" ht="20.100000000000001" customHeight="1" thickBot="1">
      <c r="A52" s="1042" t="s">
        <v>429</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429</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429</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429</v>
      </c>
      <c r="FK52" s="1043"/>
      <c r="FL52" s="1044"/>
      <c r="FM52" s="1044"/>
      <c r="FN52" s="1045"/>
      <c r="FO52" s="1044"/>
      <c r="FP52" s="1053"/>
      <c r="FQ52" s="1054"/>
      <c r="FR52" s="1047">
        <v>0</v>
      </c>
      <c r="FS52" s="1055"/>
      <c r="FT52" s="1054"/>
      <c r="FU52" s="1056">
        <v>0</v>
      </c>
      <c r="FV52" s="1057">
        <v>14</v>
      </c>
      <c r="FW52" s="1058">
        <v>212</v>
      </c>
      <c r="FX52" s="1059">
        <v>13</v>
      </c>
      <c r="FY52" s="1058">
        <v>212</v>
      </c>
      <c r="FZ52" s="1059">
        <v>13</v>
      </c>
      <c r="GA52" s="1058">
        <v>212</v>
      </c>
      <c r="GB52" s="1060" t="s">
        <v>533</v>
      </c>
      <c r="GC52" s="1061">
        <v>212</v>
      </c>
      <c r="GD52" s="1060" t="s">
        <v>356</v>
      </c>
      <c r="GE52" s="1062">
        <v>0</v>
      </c>
      <c r="GF52" s="681"/>
      <c r="GG52" s="979"/>
      <c r="GH52" s="979"/>
      <c r="GI52" s="979"/>
      <c r="GJ52" s="925"/>
      <c r="GK52" s="726"/>
      <c r="GL52" s="1063"/>
      <c r="GM52" s="1064"/>
      <c r="GN52" s="1064"/>
      <c r="GO52" s="1065"/>
      <c r="GP52" s="1065"/>
      <c r="GQ52" s="1066"/>
      <c r="GR52" s="942"/>
      <c r="GS52" s="882"/>
      <c r="GT52" s="850"/>
      <c r="GU52" s="527" t="s">
        <v>482</v>
      </c>
      <c r="GV52" s="726"/>
      <c r="GW52" s="925"/>
      <c r="GX52" s="726"/>
      <c r="GY52" s="414"/>
      <c r="GZ52" s="1067"/>
      <c r="HA52" s="942"/>
      <c r="HB52" s="1067"/>
      <c r="HC52" s="559"/>
      <c r="HD52" s="416"/>
    </row>
    <row r="53" spans="1:212" ht="20.100000000000001" customHeight="1" thickTop="1">
      <c r="A53" s="1068" t="s">
        <v>430</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1180</v>
      </c>
      <c r="Y53" s="1075"/>
      <c r="Z53" s="1074">
        <v>1149</v>
      </c>
      <c r="AA53" s="1075"/>
      <c r="AB53" s="1074">
        <v>1170</v>
      </c>
      <c r="AC53" s="1075"/>
      <c r="AD53" s="1074">
        <v>1180</v>
      </c>
      <c r="AE53" s="1075"/>
      <c r="AF53" s="1074">
        <v>1192</v>
      </c>
      <c r="AG53" s="1075"/>
      <c r="AH53" s="1074">
        <v>1192</v>
      </c>
      <c r="AI53" s="1075"/>
      <c r="AJ53" s="1074">
        <v>1169</v>
      </c>
      <c r="AK53" s="1075"/>
      <c r="AL53" s="1074">
        <v>1159</v>
      </c>
      <c r="AM53" s="1075"/>
      <c r="AN53" s="1074">
        <v>1123</v>
      </c>
      <c r="AO53" s="1075"/>
      <c r="AP53" s="1074">
        <v>1100</v>
      </c>
      <c r="AQ53" s="1075"/>
      <c r="AR53" s="1074">
        <v>0</v>
      </c>
      <c r="AS53" s="1075"/>
      <c r="AT53" s="1074">
        <v>0</v>
      </c>
      <c r="AU53" s="1075"/>
      <c r="AV53" s="1074">
        <v>0</v>
      </c>
      <c r="AW53" s="1075"/>
      <c r="AX53" s="1074">
        <v>0</v>
      </c>
      <c r="AY53" s="1076"/>
      <c r="AZ53" s="1077">
        <v>0</v>
      </c>
      <c r="BA53" s="1078"/>
      <c r="BB53" s="1079">
        <v>0</v>
      </c>
      <c r="BC53" s="970"/>
      <c r="BD53" s="1068" t="s">
        <v>430</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1168</v>
      </c>
      <c r="CB53" s="1075"/>
      <c r="CC53" s="1074">
        <v>1124</v>
      </c>
      <c r="CD53" s="1075"/>
      <c r="CE53" s="1074">
        <v>1158</v>
      </c>
      <c r="CF53" s="1075"/>
      <c r="CG53" s="1074">
        <v>1168</v>
      </c>
      <c r="CH53" s="1075"/>
      <c r="CI53" s="1074">
        <v>1175</v>
      </c>
      <c r="CJ53" s="1075"/>
      <c r="CK53" s="1074">
        <v>1165</v>
      </c>
      <c r="CL53" s="1075"/>
      <c r="CM53" s="1074">
        <v>1155</v>
      </c>
      <c r="CN53" s="1075"/>
      <c r="CO53" s="1074">
        <v>1144</v>
      </c>
      <c r="CP53" s="1075"/>
      <c r="CQ53" s="1074">
        <v>1123</v>
      </c>
      <c r="CR53" s="1075"/>
      <c r="CS53" s="1074">
        <v>1090</v>
      </c>
      <c r="CT53" s="1075"/>
      <c r="CU53" s="1074">
        <v>0</v>
      </c>
      <c r="CV53" s="1075"/>
      <c r="CW53" s="1074">
        <v>0</v>
      </c>
      <c r="CX53" s="1075"/>
      <c r="CY53" s="1074">
        <v>0</v>
      </c>
      <c r="CZ53" s="1075"/>
      <c r="DA53" s="1074">
        <v>0</v>
      </c>
      <c r="DB53" s="1076"/>
      <c r="DC53" s="1077">
        <v>0</v>
      </c>
      <c r="DD53" s="1078"/>
      <c r="DE53" s="1079">
        <v>0</v>
      </c>
      <c r="DF53" s="970"/>
      <c r="DG53" s="1068" t="s">
        <v>430</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1072</v>
      </c>
      <c r="EE53" s="1075"/>
      <c r="EF53" s="1074">
        <v>1038</v>
      </c>
      <c r="EG53" s="1075"/>
      <c r="EH53" s="1074">
        <v>1071</v>
      </c>
      <c r="EI53" s="1075"/>
      <c r="EJ53" s="1074">
        <v>1092</v>
      </c>
      <c r="EK53" s="1075"/>
      <c r="EL53" s="1074">
        <v>1094</v>
      </c>
      <c r="EM53" s="1075"/>
      <c r="EN53" s="1074">
        <v>1082</v>
      </c>
      <c r="EO53" s="1075"/>
      <c r="EP53" s="1074">
        <v>1074</v>
      </c>
      <c r="EQ53" s="1075"/>
      <c r="ER53" s="1074">
        <v>1070</v>
      </c>
      <c r="ES53" s="1075"/>
      <c r="ET53" s="1074">
        <v>1036</v>
      </c>
      <c r="EU53" s="1075"/>
      <c r="EV53" s="1074">
        <v>1004</v>
      </c>
      <c r="EW53" s="1075"/>
      <c r="EX53" s="1074">
        <v>0</v>
      </c>
      <c r="EY53" s="1075"/>
      <c r="EZ53" s="1074">
        <v>0</v>
      </c>
      <c r="FA53" s="1075"/>
      <c r="FB53" s="1074">
        <v>0</v>
      </c>
      <c r="FC53" s="1075"/>
      <c r="FD53" s="1074">
        <v>0</v>
      </c>
      <c r="FE53" s="1076"/>
      <c r="FF53" s="1077">
        <v>0</v>
      </c>
      <c r="FG53" s="1078"/>
      <c r="FH53" s="1079">
        <v>0</v>
      </c>
      <c r="FI53" s="970"/>
      <c r="FJ53" s="1068" t="s">
        <v>430</v>
      </c>
      <c r="FK53" s="1069"/>
      <c r="FL53" s="1070"/>
      <c r="FM53" s="1070"/>
      <c r="FN53" s="1071"/>
      <c r="FO53" s="1072"/>
      <c r="FP53" s="1080"/>
      <c r="FQ53" s="1081"/>
      <c r="FR53" s="1074">
        <v>1834</v>
      </c>
      <c r="FS53" s="1082"/>
      <c r="FT53" s="1081"/>
      <c r="FU53" s="1083">
        <v>1850</v>
      </c>
      <c r="FV53" s="1084">
        <v>14</v>
      </c>
      <c r="FW53" s="1085">
        <v>1192</v>
      </c>
      <c r="FX53" s="1086">
        <v>13</v>
      </c>
      <c r="FY53" s="1085">
        <v>1175</v>
      </c>
      <c r="FZ53" s="1086">
        <v>13</v>
      </c>
      <c r="GA53" s="1085">
        <v>1094</v>
      </c>
      <c r="GB53" s="1087" t="s">
        <v>533</v>
      </c>
      <c r="GC53" s="1085">
        <v>1192</v>
      </c>
      <c r="GD53" s="1087" t="s">
        <v>356</v>
      </c>
      <c r="GE53" s="1088">
        <v>1850</v>
      </c>
      <c r="GF53" s="681"/>
      <c r="GG53" s="979"/>
      <c r="GH53" s="979"/>
      <c r="GI53" s="979"/>
      <c r="GJ53" s="942"/>
      <c r="GK53" s="414"/>
      <c r="GL53" s="1089">
        <v>10</v>
      </c>
      <c r="GM53" s="1090">
        <v>1</v>
      </c>
      <c r="GN53" s="1091">
        <v>0.92</v>
      </c>
      <c r="GO53" s="1092">
        <v>4.2</v>
      </c>
      <c r="GP53" s="1092">
        <v>7</v>
      </c>
      <c r="GQ53" s="1093">
        <v>11.2</v>
      </c>
      <c r="GR53" s="577"/>
      <c r="GS53" s="480"/>
      <c r="GT53" s="850"/>
      <c r="GU53" s="577" t="s">
        <v>543</v>
      </c>
      <c r="GV53" s="577"/>
      <c r="GW53" s="577"/>
      <c r="GX53" s="577"/>
      <c r="GY53" s="414"/>
      <c r="GZ53" s="410"/>
      <c r="HA53" s="612">
        <v>38.4</v>
      </c>
      <c r="HB53" s="576" t="s">
        <v>462</v>
      </c>
      <c r="HC53" s="792"/>
      <c r="HD53" s="416"/>
    </row>
    <row r="54" spans="1:212" ht="20.100000000000001" customHeight="1">
      <c r="A54" s="1094" t="s">
        <v>431</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89.4</v>
      </c>
      <c r="Y54" s="1102"/>
      <c r="Z54" s="1101">
        <v>87</v>
      </c>
      <c r="AA54" s="1102"/>
      <c r="AB54" s="1101">
        <v>88.6</v>
      </c>
      <c r="AC54" s="1102"/>
      <c r="AD54" s="1101">
        <v>89.4</v>
      </c>
      <c r="AE54" s="1102"/>
      <c r="AF54" s="1101">
        <v>90.3</v>
      </c>
      <c r="AG54" s="1102"/>
      <c r="AH54" s="1101">
        <v>90.3</v>
      </c>
      <c r="AI54" s="1102"/>
      <c r="AJ54" s="1101">
        <v>88.6</v>
      </c>
      <c r="AK54" s="1102"/>
      <c r="AL54" s="1101">
        <v>87.8</v>
      </c>
      <c r="AM54" s="1102"/>
      <c r="AN54" s="1101">
        <v>85.1</v>
      </c>
      <c r="AO54" s="1102"/>
      <c r="AP54" s="1101">
        <v>83.3</v>
      </c>
      <c r="AQ54" s="1102"/>
      <c r="AR54" s="1101">
        <v>0</v>
      </c>
      <c r="AS54" s="1102"/>
      <c r="AT54" s="1101">
        <v>0</v>
      </c>
      <c r="AU54" s="1102"/>
      <c r="AV54" s="1101">
        <v>0</v>
      </c>
      <c r="AW54" s="1102"/>
      <c r="AX54" s="1101">
        <v>0</v>
      </c>
      <c r="AY54" s="1102"/>
      <c r="AZ54" s="1101">
        <v>0</v>
      </c>
      <c r="BA54" s="1102"/>
      <c r="BB54" s="1103">
        <v>0</v>
      </c>
      <c r="BC54" s="1006"/>
      <c r="BD54" s="1094" t="s">
        <v>431</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88.5</v>
      </c>
      <c r="CB54" s="1102"/>
      <c r="CC54" s="1101">
        <v>85.2</v>
      </c>
      <c r="CD54" s="1102"/>
      <c r="CE54" s="1101">
        <v>87.7</v>
      </c>
      <c r="CF54" s="1102"/>
      <c r="CG54" s="1101">
        <v>88.5</v>
      </c>
      <c r="CH54" s="1102"/>
      <c r="CI54" s="1101">
        <v>89</v>
      </c>
      <c r="CJ54" s="1102"/>
      <c r="CK54" s="1101">
        <v>88.3</v>
      </c>
      <c r="CL54" s="1102"/>
      <c r="CM54" s="1101">
        <v>87.5</v>
      </c>
      <c r="CN54" s="1102"/>
      <c r="CO54" s="1101">
        <v>86.7</v>
      </c>
      <c r="CP54" s="1102"/>
      <c r="CQ54" s="1101">
        <v>85.1</v>
      </c>
      <c r="CR54" s="1102"/>
      <c r="CS54" s="1101">
        <v>82.6</v>
      </c>
      <c r="CT54" s="1102"/>
      <c r="CU54" s="1101">
        <v>0</v>
      </c>
      <c r="CV54" s="1102"/>
      <c r="CW54" s="1101">
        <v>0</v>
      </c>
      <c r="CX54" s="1102"/>
      <c r="CY54" s="1101">
        <v>0</v>
      </c>
      <c r="CZ54" s="1102"/>
      <c r="DA54" s="1101">
        <v>0</v>
      </c>
      <c r="DB54" s="1102"/>
      <c r="DC54" s="1101">
        <v>0</v>
      </c>
      <c r="DD54" s="1102"/>
      <c r="DE54" s="1103">
        <v>0</v>
      </c>
      <c r="DF54" s="1006"/>
      <c r="DG54" s="1094" t="s">
        <v>431</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81.2</v>
      </c>
      <c r="EE54" s="1102"/>
      <c r="EF54" s="1101">
        <v>78.599999999999994</v>
      </c>
      <c r="EG54" s="1102"/>
      <c r="EH54" s="1101">
        <v>81.099999999999994</v>
      </c>
      <c r="EI54" s="1102"/>
      <c r="EJ54" s="1101">
        <v>82.7</v>
      </c>
      <c r="EK54" s="1102"/>
      <c r="EL54" s="1101">
        <v>82.9</v>
      </c>
      <c r="EM54" s="1102"/>
      <c r="EN54" s="1101">
        <v>82</v>
      </c>
      <c r="EO54" s="1102"/>
      <c r="EP54" s="1101">
        <v>81.400000000000006</v>
      </c>
      <c r="EQ54" s="1102"/>
      <c r="ER54" s="1101">
        <v>81.099999999999994</v>
      </c>
      <c r="ES54" s="1102"/>
      <c r="ET54" s="1101">
        <v>78.5</v>
      </c>
      <c r="EU54" s="1102"/>
      <c r="EV54" s="1101">
        <v>76.099999999999994</v>
      </c>
      <c r="EW54" s="1102"/>
      <c r="EX54" s="1101">
        <v>0</v>
      </c>
      <c r="EY54" s="1102"/>
      <c r="EZ54" s="1101">
        <v>0</v>
      </c>
      <c r="FA54" s="1102"/>
      <c r="FB54" s="1101">
        <v>0</v>
      </c>
      <c r="FC54" s="1102"/>
      <c r="FD54" s="1101">
        <v>0</v>
      </c>
      <c r="FE54" s="1102"/>
      <c r="FF54" s="1101">
        <v>0</v>
      </c>
      <c r="FG54" s="1102"/>
      <c r="FH54" s="1103">
        <v>0</v>
      </c>
      <c r="FI54" s="1006"/>
      <c r="FJ54" s="1094" t="s">
        <v>431</v>
      </c>
      <c r="FK54" s="1095"/>
      <c r="FL54" s="1096"/>
      <c r="FM54" s="1097"/>
      <c r="FN54" s="1098"/>
      <c r="FO54" s="1099"/>
      <c r="FP54" s="1104"/>
      <c r="FQ54" s="1102"/>
      <c r="FR54" s="1101">
        <v>138.9</v>
      </c>
      <c r="FS54" s="1105"/>
      <c r="FT54" s="1102"/>
      <c r="FU54" s="1106">
        <v>140.19999999999999</v>
      </c>
      <c r="FV54" s="1105"/>
      <c r="FW54" s="1101">
        <f>IF(面積=0,0,ROUND(FW53/面積,1))</f>
        <v>90.3</v>
      </c>
      <c r="FX54" s="1105"/>
      <c r="FY54" s="1101">
        <f>IF(面積=0,0,ROUND(FY53/面積,1))</f>
        <v>89</v>
      </c>
      <c r="FZ54" s="1105"/>
      <c r="GA54" s="1101">
        <f>IF(面積=0,0,ROUND(GA53/面積,1))</f>
        <v>82.9</v>
      </c>
      <c r="GB54" s="1105"/>
      <c r="GC54" s="1101">
        <f>IF(面積=0,0,ROUND(GC53/面積,1))</f>
        <v>90.3</v>
      </c>
      <c r="GD54" s="1105"/>
      <c r="GE54" s="1103">
        <f>IF(面積=0,0,ROUND(GE53/面積,1))</f>
        <v>140.19999999999999</v>
      </c>
      <c r="GF54" s="681"/>
      <c r="GG54" s="926"/>
      <c r="GH54" s="926"/>
      <c r="GI54" s="926"/>
      <c r="GJ54" s="577"/>
      <c r="GK54" s="576"/>
      <c r="GL54" s="1089">
        <v>11</v>
      </c>
      <c r="GM54" s="1090">
        <v>2</v>
      </c>
      <c r="GN54" s="1091">
        <v>0.85</v>
      </c>
      <c r="GO54" s="1092">
        <v>3.9</v>
      </c>
      <c r="GP54" s="1092">
        <v>7</v>
      </c>
      <c r="GQ54" s="1093">
        <v>10.9</v>
      </c>
      <c r="GR54" s="527"/>
      <c r="GS54" s="577"/>
      <c r="GT54" s="850"/>
      <c r="GU54" s="1107" t="s">
        <v>510</v>
      </c>
      <c r="GV54" s="1107"/>
      <c r="GW54" s="1107"/>
      <c r="GX54" s="1107"/>
      <c r="GY54" s="768"/>
      <c r="GZ54" s="1108"/>
      <c r="HA54" s="1109">
        <v>75</v>
      </c>
      <c r="HB54" s="1110" t="s">
        <v>462</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332</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332</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332</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333</v>
      </c>
      <c r="FK56" s="1118"/>
      <c r="FL56" s="1118"/>
      <c r="FM56" s="1118"/>
      <c r="FN56" s="1119"/>
      <c r="FO56" s="1119"/>
      <c r="FP56" s="1125" t="s">
        <v>530</v>
      </c>
      <c r="FQ56" s="1126"/>
      <c r="FR56" s="1127"/>
      <c r="FS56" s="1128" t="s">
        <v>286</v>
      </c>
      <c r="FT56" s="1129"/>
      <c r="FU56" s="1130"/>
      <c r="FV56" s="1131" t="s">
        <v>335</v>
      </c>
      <c r="FW56" s="1132"/>
      <c r="FX56" s="1133" t="s">
        <v>336</v>
      </c>
      <c r="FY56" s="1134"/>
      <c r="FZ56" s="1135" t="s">
        <v>337</v>
      </c>
      <c r="GA56" s="1136"/>
      <c r="GB56" s="1137" t="s">
        <v>338</v>
      </c>
      <c r="GC56" s="1122"/>
      <c r="GD56" s="1137" t="s">
        <v>339</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340</v>
      </c>
      <c r="H57" s="1143" t="s">
        <v>319</v>
      </c>
      <c r="I57" s="1144" t="s">
        <v>340</v>
      </c>
      <c r="J57" s="1143" t="s">
        <v>319</v>
      </c>
      <c r="K57" s="1144" t="s">
        <v>340</v>
      </c>
      <c r="L57" s="1143" t="s">
        <v>319</v>
      </c>
      <c r="M57" s="1144" t="s">
        <v>340</v>
      </c>
      <c r="N57" s="1143" t="s">
        <v>319</v>
      </c>
      <c r="O57" s="1144" t="s">
        <v>340</v>
      </c>
      <c r="P57" s="1143" t="s">
        <v>319</v>
      </c>
      <c r="Q57" s="1144" t="s">
        <v>340</v>
      </c>
      <c r="R57" s="1143" t="s">
        <v>319</v>
      </c>
      <c r="S57" s="1144" t="s">
        <v>340</v>
      </c>
      <c r="T57" s="1143" t="s">
        <v>319</v>
      </c>
      <c r="U57" s="1144" t="s">
        <v>340</v>
      </c>
      <c r="V57" s="1143" t="s">
        <v>319</v>
      </c>
      <c r="W57" s="1144" t="s">
        <v>340</v>
      </c>
      <c r="X57" s="1143" t="s">
        <v>319</v>
      </c>
      <c r="Y57" s="1144" t="s">
        <v>340</v>
      </c>
      <c r="Z57" s="1143" t="s">
        <v>319</v>
      </c>
      <c r="AA57" s="1144" t="s">
        <v>340</v>
      </c>
      <c r="AB57" s="1143" t="s">
        <v>319</v>
      </c>
      <c r="AC57" s="1144" t="s">
        <v>340</v>
      </c>
      <c r="AD57" s="1143" t="s">
        <v>340</v>
      </c>
      <c r="AE57" s="1144" t="s">
        <v>340</v>
      </c>
      <c r="AF57" s="1143" t="s">
        <v>319</v>
      </c>
      <c r="AG57" s="1144" t="s">
        <v>340</v>
      </c>
      <c r="AH57" s="1143" t="s">
        <v>319</v>
      </c>
      <c r="AI57" s="1144" t="s">
        <v>340</v>
      </c>
      <c r="AJ57" s="1143" t="s">
        <v>319</v>
      </c>
      <c r="AK57" s="1144" t="s">
        <v>340</v>
      </c>
      <c r="AL57" s="1143" t="s">
        <v>319</v>
      </c>
      <c r="AM57" s="1144" t="s">
        <v>340</v>
      </c>
      <c r="AN57" s="1143" t="s">
        <v>319</v>
      </c>
      <c r="AO57" s="1144" t="s">
        <v>340</v>
      </c>
      <c r="AP57" s="1143" t="s">
        <v>319</v>
      </c>
      <c r="AQ57" s="1144" t="s">
        <v>340</v>
      </c>
      <c r="AR57" s="1143" t="s">
        <v>319</v>
      </c>
      <c r="AS57" s="1144" t="s">
        <v>340</v>
      </c>
      <c r="AT57" s="1143" t="s">
        <v>319</v>
      </c>
      <c r="AU57" s="1144" t="s">
        <v>340</v>
      </c>
      <c r="AV57" s="1143" t="s">
        <v>319</v>
      </c>
      <c r="AW57" s="1144" t="s">
        <v>340</v>
      </c>
      <c r="AX57" s="1143" t="s">
        <v>319</v>
      </c>
      <c r="AY57" s="1144" t="s">
        <v>340</v>
      </c>
      <c r="AZ57" s="1143" t="s">
        <v>319</v>
      </c>
      <c r="BA57" s="1145" t="s">
        <v>340</v>
      </c>
      <c r="BB57" s="1146" t="s">
        <v>319</v>
      </c>
      <c r="BC57" s="1041"/>
      <c r="BD57" s="1138"/>
      <c r="BE57" s="1139"/>
      <c r="BF57" s="1139"/>
      <c r="BG57" s="1139"/>
      <c r="BH57" s="1140"/>
      <c r="BI57" s="1141"/>
      <c r="BJ57" s="1142" t="s">
        <v>340</v>
      </c>
      <c r="BK57" s="1143" t="s">
        <v>319</v>
      </c>
      <c r="BL57" s="1144" t="s">
        <v>340</v>
      </c>
      <c r="BM57" s="1143" t="s">
        <v>319</v>
      </c>
      <c r="BN57" s="1144" t="s">
        <v>340</v>
      </c>
      <c r="BO57" s="1143" t="s">
        <v>319</v>
      </c>
      <c r="BP57" s="1144" t="s">
        <v>340</v>
      </c>
      <c r="BQ57" s="1143" t="s">
        <v>319</v>
      </c>
      <c r="BR57" s="1144" t="s">
        <v>340</v>
      </c>
      <c r="BS57" s="1143" t="s">
        <v>319</v>
      </c>
      <c r="BT57" s="1144" t="s">
        <v>340</v>
      </c>
      <c r="BU57" s="1143" t="s">
        <v>319</v>
      </c>
      <c r="BV57" s="1144" t="s">
        <v>340</v>
      </c>
      <c r="BW57" s="1143" t="s">
        <v>319</v>
      </c>
      <c r="BX57" s="1144" t="s">
        <v>340</v>
      </c>
      <c r="BY57" s="1143" t="s">
        <v>319</v>
      </c>
      <c r="BZ57" s="1144" t="s">
        <v>340</v>
      </c>
      <c r="CA57" s="1143" t="s">
        <v>319</v>
      </c>
      <c r="CB57" s="1144" t="s">
        <v>340</v>
      </c>
      <c r="CC57" s="1143" t="s">
        <v>319</v>
      </c>
      <c r="CD57" s="1144" t="s">
        <v>340</v>
      </c>
      <c r="CE57" s="1143" t="s">
        <v>319</v>
      </c>
      <c r="CF57" s="1144" t="s">
        <v>340</v>
      </c>
      <c r="CG57" s="1143" t="s">
        <v>340</v>
      </c>
      <c r="CH57" s="1144" t="s">
        <v>340</v>
      </c>
      <c r="CI57" s="1143" t="s">
        <v>319</v>
      </c>
      <c r="CJ57" s="1144" t="s">
        <v>340</v>
      </c>
      <c r="CK57" s="1143" t="s">
        <v>319</v>
      </c>
      <c r="CL57" s="1144" t="s">
        <v>340</v>
      </c>
      <c r="CM57" s="1143" t="s">
        <v>319</v>
      </c>
      <c r="CN57" s="1144" t="s">
        <v>340</v>
      </c>
      <c r="CO57" s="1143" t="s">
        <v>319</v>
      </c>
      <c r="CP57" s="1144" t="s">
        <v>340</v>
      </c>
      <c r="CQ57" s="1143" t="s">
        <v>319</v>
      </c>
      <c r="CR57" s="1144" t="s">
        <v>340</v>
      </c>
      <c r="CS57" s="1143" t="s">
        <v>319</v>
      </c>
      <c r="CT57" s="1144" t="s">
        <v>340</v>
      </c>
      <c r="CU57" s="1143" t="s">
        <v>319</v>
      </c>
      <c r="CV57" s="1144" t="s">
        <v>340</v>
      </c>
      <c r="CW57" s="1143" t="s">
        <v>319</v>
      </c>
      <c r="CX57" s="1144" t="s">
        <v>340</v>
      </c>
      <c r="CY57" s="1143" t="s">
        <v>319</v>
      </c>
      <c r="CZ57" s="1144" t="s">
        <v>340</v>
      </c>
      <c r="DA57" s="1143" t="s">
        <v>319</v>
      </c>
      <c r="DB57" s="1144" t="s">
        <v>340</v>
      </c>
      <c r="DC57" s="1143" t="s">
        <v>319</v>
      </c>
      <c r="DD57" s="1145" t="s">
        <v>340</v>
      </c>
      <c r="DE57" s="1146" t="s">
        <v>319</v>
      </c>
      <c r="DF57" s="1041"/>
      <c r="DG57" s="1138"/>
      <c r="DH57" s="1139"/>
      <c r="DI57" s="1139"/>
      <c r="DJ57" s="1139"/>
      <c r="DK57" s="1140"/>
      <c r="DL57" s="1141"/>
      <c r="DM57" s="1142" t="s">
        <v>340</v>
      </c>
      <c r="DN57" s="1143" t="s">
        <v>319</v>
      </c>
      <c r="DO57" s="1144" t="s">
        <v>340</v>
      </c>
      <c r="DP57" s="1143" t="s">
        <v>319</v>
      </c>
      <c r="DQ57" s="1144" t="s">
        <v>340</v>
      </c>
      <c r="DR57" s="1143" t="s">
        <v>319</v>
      </c>
      <c r="DS57" s="1144" t="s">
        <v>340</v>
      </c>
      <c r="DT57" s="1143" t="s">
        <v>319</v>
      </c>
      <c r="DU57" s="1144" t="s">
        <v>340</v>
      </c>
      <c r="DV57" s="1143" t="s">
        <v>319</v>
      </c>
      <c r="DW57" s="1144" t="s">
        <v>340</v>
      </c>
      <c r="DX57" s="1143" t="s">
        <v>319</v>
      </c>
      <c r="DY57" s="1144" t="s">
        <v>340</v>
      </c>
      <c r="DZ57" s="1143" t="s">
        <v>319</v>
      </c>
      <c r="EA57" s="1144" t="s">
        <v>340</v>
      </c>
      <c r="EB57" s="1143" t="s">
        <v>319</v>
      </c>
      <c r="EC57" s="1144" t="s">
        <v>340</v>
      </c>
      <c r="ED57" s="1143" t="s">
        <v>319</v>
      </c>
      <c r="EE57" s="1144" t="s">
        <v>340</v>
      </c>
      <c r="EF57" s="1143" t="s">
        <v>319</v>
      </c>
      <c r="EG57" s="1144" t="s">
        <v>340</v>
      </c>
      <c r="EH57" s="1143" t="s">
        <v>319</v>
      </c>
      <c r="EI57" s="1144" t="s">
        <v>340</v>
      </c>
      <c r="EJ57" s="1143" t="s">
        <v>340</v>
      </c>
      <c r="EK57" s="1144" t="s">
        <v>340</v>
      </c>
      <c r="EL57" s="1143" t="s">
        <v>319</v>
      </c>
      <c r="EM57" s="1144" t="s">
        <v>340</v>
      </c>
      <c r="EN57" s="1143" t="s">
        <v>319</v>
      </c>
      <c r="EO57" s="1144" t="s">
        <v>340</v>
      </c>
      <c r="EP57" s="1143" t="s">
        <v>319</v>
      </c>
      <c r="EQ57" s="1144" t="s">
        <v>340</v>
      </c>
      <c r="ER57" s="1143" t="s">
        <v>319</v>
      </c>
      <c r="ES57" s="1144" t="s">
        <v>340</v>
      </c>
      <c r="ET57" s="1143" t="s">
        <v>319</v>
      </c>
      <c r="EU57" s="1144" t="s">
        <v>340</v>
      </c>
      <c r="EV57" s="1143" t="s">
        <v>319</v>
      </c>
      <c r="EW57" s="1144" t="s">
        <v>340</v>
      </c>
      <c r="EX57" s="1143" t="s">
        <v>319</v>
      </c>
      <c r="EY57" s="1144" t="s">
        <v>340</v>
      </c>
      <c r="EZ57" s="1143" t="s">
        <v>319</v>
      </c>
      <c r="FA57" s="1144" t="s">
        <v>340</v>
      </c>
      <c r="FB57" s="1143" t="s">
        <v>319</v>
      </c>
      <c r="FC57" s="1144" t="s">
        <v>340</v>
      </c>
      <c r="FD57" s="1143" t="s">
        <v>319</v>
      </c>
      <c r="FE57" s="1144" t="s">
        <v>340</v>
      </c>
      <c r="FF57" s="1143" t="s">
        <v>319</v>
      </c>
      <c r="FG57" s="1145" t="s">
        <v>340</v>
      </c>
      <c r="FH57" s="1146" t="s">
        <v>319</v>
      </c>
      <c r="FI57" s="1041"/>
      <c r="FJ57" s="1138"/>
      <c r="FK57" s="1139"/>
      <c r="FL57" s="1139"/>
      <c r="FM57" s="1139"/>
      <c r="FN57" s="1140"/>
      <c r="FO57" s="1141"/>
      <c r="FP57" s="1147" t="s">
        <v>43</v>
      </c>
      <c r="FQ57" s="1145" t="s">
        <v>340</v>
      </c>
      <c r="FR57" s="1143" t="s">
        <v>320</v>
      </c>
      <c r="FS57" s="1148" t="s">
        <v>43</v>
      </c>
      <c r="FT57" s="1145" t="s">
        <v>340</v>
      </c>
      <c r="FU57" s="1149" t="s">
        <v>320</v>
      </c>
      <c r="FV57" s="1150" t="s">
        <v>43</v>
      </c>
      <c r="FW57" s="1143" t="s">
        <v>319</v>
      </c>
      <c r="FX57" s="1148" t="s">
        <v>43</v>
      </c>
      <c r="FY57" s="1143" t="s">
        <v>319</v>
      </c>
      <c r="FZ57" s="1148" t="s">
        <v>43</v>
      </c>
      <c r="GA57" s="1143" t="s">
        <v>319</v>
      </c>
      <c r="GB57" s="1148" t="s">
        <v>43</v>
      </c>
      <c r="GC57" s="1143" t="s">
        <v>319</v>
      </c>
      <c r="GD57" s="1148" t="s">
        <v>43</v>
      </c>
      <c r="GE57" s="1146" t="s">
        <v>320</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682</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11.6</v>
      </c>
      <c r="X59" s="584">
        <v>464</v>
      </c>
      <c r="Y59" s="1173">
        <v>12</v>
      </c>
      <c r="Z59" s="584">
        <v>480</v>
      </c>
      <c r="AA59" s="1173">
        <v>12.1</v>
      </c>
      <c r="AB59" s="584">
        <v>484</v>
      </c>
      <c r="AC59" s="1173">
        <v>12.7</v>
      </c>
      <c r="AD59" s="584">
        <v>508</v>
      </c>
      <c r="AE59" s="1173">
        <v>12.5</v>
      </c>
      <c r="AF59" s="584">
        <v>500</v>
      </c>
      <c r="AG59" s="1173">
        <v>12.2</v>
      </c>
      <c r="AH59" s="584">
        <v>488</v>
      </c>
      <c r="AI59" s="1173">
        <v>12.2</v>
      </c>
      <c r="AJ59" s="584">
        <v>488</v>
      </c>
      <c r="AK59" s="1173">
        <v>12.1</v>
      </c>
      <c r="AL59" s="584">
        <v>484</v>
      </c>
      <c r="AM59" s="1173">
        <v>11.8</v>
      </c>
      <c r="AN59" s="584">
        <v>472</v>
      </c>
      <c r="AO59" s="1173">
        <v>11.5</v>
      </c>
      <c r="AP59" s="584">
        <v>460</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9.4</v>
      </c>
      <c r="CA59" s="584">
        <v>376</v>
      </c>
      <c r="CB59" s="1173">
        <v>9.6999999999999993</v>
      </c>
      <c r="CC59" s="584">
        <v>388</v>
      </c>
      <c r="CD59" s="1173">
        <v>10.1</v>
      </c>
      <c r="CE59" s="584">
        <v>404</v>
      </c>
      <c r="CF59" s="1173">
        <v>10.4</v>
      </c>
      <c r="CG59" s="584">
        <v>416</v>
      </c>
      <c r="CH59" s="1173">
        <v>10.6</v>
      </c>
      <c r="CI59" s="584">
        <v>424</v>
      </c>
      <c r="CJ59" s="1173">
        <v>10.3</v>
      </c>
      <c r="CK59" s="584">
        <v>412</v>
      </c>
      <c r="CL59" s="1173">
        <v>10.199999999999999</v>
      </c>
      <c r="CM59" s="584">
        <v>408</v>
      </c>
      <c r="CN59" s="1173">
        <v>10.1</v>
      </c>
      <c r="CO59" s="584">
        <v>404</v>
      </c>
      <c r="CP59" s="1173">
        <v>10.1</v>
      </c>
      <c r="CQ59" s="584">
        <v>404</v>
      </c>
      <c r="CR59" s="1173">
        <v>9.8000000000000007</v>
      </c>
      <c r="CS59" s="584">
        <v>392</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5.5</v>
      </c>
      <c r="ED59" s="584">
        <v>220</v>
      </c>
      <c r="EE59" s="1173">
        <v>6</v>
      </c>
      <c r="EF59" s="584">
        <v>240</v>
      </c>
      <c r="EG59" s="1173">
        <v>6</v>
      </c>
      <c r="EH59" s="584">
        <v>240</v>
      </c>
      <c r="EI59" s="1173">
        <v>6.2</v>
      </c>
      <c r="EJ59" s="584">
        <v>248</v>
      </c>
      <c r="EK59" s="1173">
        <v>6.1</v>
      </c>
      <c r="EL59" s="584">
        <v>244</v>
      </c>
      <c r="EM59" s="1173">
        <v>5.9</v>
      </c>
      <c r="EN59" s="584">
        <v>236</v>
      </c>
      <c r="EO59" s="1173">
        <v>5.8</v>
      </c>
      <c r="EP59" s="584">
        <v>232</v>
      </c>
      <c r="EQ59" s="1173">
        <v>5.8</v>
      </c>
      <c r="ER59" s="584">
        <v>232</v>
      </c>
      <c r="ES59" s="1173">
        <v>5.6</v>
      </c>
      <c r="ET59" s="584">
        <v>224</v>
      </c>
      <c r="EU59" s="1173">
        <v>5.8</v>
      </c>
      <c r="EV59" s="584">
        <v>232</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2.6</v>
      </c>
      <c r="FR59" s="1175">
        <v>104</v>
      </c>
      <c r="FS59" s="1176">
        <v>9</v>
      </c>
      <c r="FT59" s="1174">
        <v>2.7</v>
      </c>
      <c r="FU59" s="1177">
        <v>108</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664</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1644</v>
      </c>
      <c r="Y61" s="1194"/>
      <c r="Z61" s="1195">
        <v>1629</v>
      </c>
      <c r="AA61" s="1194"/>
      <c r="AB61" s="1195">
        <v>1654</v>
      </c>
      <c r="AC61" s="1194"/>
      <c r="AD61" s="1195">
        <v>1688</v>
      </c>
      <c r="AE61" s="1194"/>
      <c r="AF61" s="1195">
        <v>1692</v>
      </c>
      <c r="AG61" s="1194"/>
      <c r="AH61" s="1195">
        <v>1680</v>
      </c>
      <c r="AI61" s="1194"/>
      <c r="AJ61" s="1195">
        <v>1657</v>
      </c>
      <c r="AK61" s="1194"/>
      <c r="AL61" s="1195">
        <v>1643</v>
      </c>
      <c r="AM61" s="1194"/>
      <c r="AN61" s="1195">
        <v>1595</v>
      </c>
      <c r="AO61" s="1194"/>
      <c r="AP61" s="1195">
        <v>1560</v>
      </c>
      <c r="AQ61" s="1194"/>
      <c r="AR61" s="1195">
        <v>0</v>
      </c>
      <c r="AS61" s="1194"/>
      <c r="AT61" s="1195">
        <v>0</v>
      </c>
      <c r="AU61" s="1194"/>
      <c r="AV61" s="1195">
        <v>0</v>
      </c>
      <c r="AW61" s="1194"/>
      <c r="AX61" s="1195">
        <v>0</v>
      </c>
      <c r="AY61" s="1194"/>
      <c r="AZ61" s="1195">
        <v>0</v>
      </c>
      <c r="BA61" s="1194"/>
      <c r="BB61" s="1196">
        <v>0</v>
      </c>
      <c r="BC61" s="560"/>
      <c r="BD61" s="1189" t="s">
        <v>664</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1544</v>
      </c>
      <c r="CB61" s="1194"/>
      <c r="CC61" s="1195">
        <v>1512</v>
      </c>
      <c r="CD61" s="1194"/>
      <c r="CE61" s="1195">
        <v>1562</v>
      </c>
      <c r="CF61" s="1194"/>
      <c r="CG61" s="1195">
        <v>1584</v>
      </c>
      <c r="CH61" s="1194"/>
      <c r="CI61" s="1195">
        <v>1599</v>
      </c>
      <c r="CJ61" s="1194"/>
      <c r="CK61" s="1195">
        <v>1577</v>
      </c>
      <c r="CL61" s="1194"/>
      <c r="CM61" s="1195">
        <v>1563</v>
      </c>
      <c r="CN61" s="1194"/>
      <c r="CO61" s="1195">
        <v>1548</v>
      </c>
      <c r="CP61" s="1194"/>
      <c r="CQ61" s="1195">
        <v>1527</v>
      </c>
      <c r="CR61" s="1194"/>
      <c r="CS61" s="1195">
        <v>1482</v>
      </c>
      <c r="CT61" s="1194"/>
      <c r="CU61" s="1195">
        <v>0</v>
      </c>
      <c r="CV61" s="1194"/>
      <c r="CW61" s="1195">
        <v>0</v>
      </c>
      <c r="CX61" s="1194"/>
      <c r="CY61" s="1195">
        <v>0</v>
      </c>
      <c r="CZ61" s="1194"/>
      <c r="DA61" s="1195">
        <v>0</v>
      </c>
      <c r="DB61" s="1194"/>
      <c r="DC61" s="1195">
        <v>0</v>
      </c>
      <c r="DD61" s="1194"/>
      <c r="DE61" s="1196">
        <v>0</v>
      </c>
      <c r="DF61" s="559"/>
      <c r="DG61" s="1189" t="s">
        <v>664</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1292</v>
      </c>
      <c r="EE61" s="1194"/>
      <c r="EF61" s="1195">
        <v>1278</v>
      </c>
      <c r="EG61" s="1194"/>
      <c r="EH61" s="1195">
        <v>1311</v>
      </c>
      <c r="EI61" s="1194"/>
      <c r="EJ61" s="1195">
        <v>1340</v>
      </c>
      <c r="EK61" s="1194"/>
      <c r="EL61" s="1195">
        <v>1338</v>
      </c>
      <c r="EM61" s="1194"/>
      <c r="EN61" s="1195">
        <v>1318</v>
      </c>
      <c r="EO61" s="1194"/>
      <c r="EP61" s="1195">
        <v>1306</v>
      </c>
      <c r="EQ61" s="1194"/>
      <c r="ER61" s="1195">
        <v>1302</v>
      </c>
      <c r="ES61" s="1194"/>
      <c r="ET61" s="1195">
        <v>1260</v>
      </c>
      <c r="EU61" s="1194"/>
      <c r="EV61" s="1195">
        <v>1236</v>
      </c>
      <c r="EW61" s="1194"/>
      <c r="EX61" s="1195">
        <v>0</v>
      </c>
      <c r="EY61" s="1194"/>
      <c r="EZ61" s="1195">
        <v>0</v>
      </c>
      <c r="FA61" s="1194"/>
      <c r="FB61" s="1195">
        <v>0</v>
      </c>
      <c r="FC61" s="1194"/>
      <c r="FD61" s="1195">
        <v>0</v>
      </c>
      <c r="FE61" s="1194"/>
      <c r="FF61" s="1195">
        <v>0</v>
      </c>
      <c r="FG61" s="1194"/>
      <c r="FH61" s="1196">
        <v>0</v>
      </c>
      <c r="FI61" s="560"/>
      <c r="FJ61" s="1189" t="s">
        <v>664</v>
      </c>
      <c r="FK61" s="1190"/>
      <c r="FL61" s="1190"/>
      <c r="FM61" s="1190"/>
      <c r="FN61" s="1190"/>
      <c r="FO61" s="1190"/>
      <c r="FP61" s="1197"/>
      <c r="FQ61" s="1198"/>
      <c r="FR61" s="1199">
        <v>1938</v>
      </c>
      <c r="FS61" s="1200"/>
      <c r="FT61" s="1198"/>
      <c r="FU61" s="1201">
        <v>1958</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341</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342</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341</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341</v>
      </c>
      <c r="FK63" s="1119"/>
      <c r="FL63" s="1119"/>
      <c r="FM63" s="1119"/>
      <c r="FN63" s="1119"/>
      <c r="FO63" s="1120"/>
      <c r="FP63" s="1125" t="s">
        <v>530</v>
      </c>
      <c r="FQ63" s="1126"/>
      <c r="FR63" s="1127"/>
      <c r="FS63" s="1128" t="s">
        <v>286</v>
      </c>
      <c r="FT63" s="1129"/>
      <c r="FU63" s="1130"/>
      <c r="FV63" s="1131" t="s">
        <v>335</v>
      </c>
      <c r="FW63" s="1132"/>
      <c r="FX63" s="1133" t="s">
        <v>336</v>
      </c>
      <c r="FY63" s="1134"/>
      <c r="FZ63" s="1135" t="s">
        <v>337</v>
      </c>
      <c r="GA63" s="1136"/>
      <c r="GB63" s="1137" t="s">
        <v>338</v>
      </c>
      <c r="GC63" s="1122"/>
      <c r="GD63" s="1137" t="s">
        <v>339</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344</v>
      </c>
      <c r="I64" s="1144"/>
      <c r="J64" s="1143" t="s">
        <v>344</v>
      </c>
      <c r="K64" s="1144"/>
      <c r="L64" s="1143" t="s">
        <v>344</v>
      </c>
      <c r="M64" s="1144"/>
      <c r="N64" s="1143" t="s">
        <v>344</v>
      </c>
      <c r="O64" s="1144"/>
      <c r="P64" s="1143" t="s">
        <v>344</v>
      </c>
      <c r="Q64" s="1144"/>
      <c r="R64" s="1143" t="s">
        <v>344</v>
      </c>
      <c r="S64" s="1144"/>
      <c r="T64" s="1143" t="s">
        <v>344</v>
      </c>
      <c r="U64" s="1144"/>
      <c r="V64" s="1143" t="s">
        <v>344</v>
      </c>
      <c r="W64" s="1144"/>
      <c r="X64" s="1143" t="s">
        <v>344</v>
      </c>
      <c r="Y64" s="1144"/>
      <c r="Z64" s="1143" t="s">
        <v>344</v>
      </c>
      <c r="AA64" s="1144"/>
      <c r="AB64" s="1143" t="s">
        <v>344</v>
      </c>
      <c r="AC64" s="1144"/>
      <c r="AD64" s="1143" t="s">
        <v>344</v>
      </c>
      <c r="AE64" s="1144"/>
      <c r="AF64" s="1143" t="s">
        <v>344</v>
      </c>
      <c r="AG64" s="1144"/>
      <c r="AH64" s="1143" t="s">
        <v>344</v>
      </c>
      <c r="AI64" s="1144"/>
      <c r="AJ64" s="1143" t="s">
        <v>344</v>
      </c>
      <c r="AK64" s="1144"/>
      <c r="AL64" s="1143" t="s">
        <v>344</v>
      </c>
      <c r="AM64" s="1144"/>
      <c r="AN64" s="1143" t="s">
        <v>344</v>
      </c>
      <c r="AO64" s="1144"/>
      <c r="AP64" s="1143" t="s">
        <v>344</v>
      </c>
      <c r="AQ64" s="1144"/>
      <c r="AR64" s="1143" t="s">
        <v>344</v>
      </c>
      <c r="AS64" s="1144"/>
      <c r="AT64" s="1143" t="s">
        <v>344</v>
      </c>
      <c r="AU64" s="1144"/>
      <c r="AV64" s="1143" t="s">
        <v>344</v>
      </c>
      <c r="AW64" s="1144"/>
      <c r="AX64" s="1143" t="s">
        <v>344</v>
      </c>
      <c r="AY64" s="1144"/>
      <c r="AZ64" s="1143" t="s">
        <v>344</v>
      </c>
      <c r="BA64" s="1144"/>
      <c r="BB64" s="1146" t="s">
        <v>344</v>
      </c>
      <c r="BC64" s="1041"/>
      <c r="BD64" s="1210"/>
      <c r="BE64" s="1211"/>
      <c r="BF64" s="1211"/>
      <c r="BG64" s="1211"/>
      <c r="BH64" s="1140"/>
      <c r="BI64" s="1141"/>
      <c r="BJ64" s="1142"/>
      <c r="BK64" s="1143" t="s">
        <v>344</v>
      </c>
      <c r="BL64" s="1144"/>
      <c r="BM64" s="1143" t="s">
        <v>344</v>
      </c>
      <c r="BN64" s="1144"/>
      <c r="BO64" s="1143" t="s">
        <v>344</v>
      </c>
      <c r="BP64" s="1144"/>
      <c r="BQ64" s="1143" t="s">
        <v>344</v>
      </c>
      <c r="BR64" s="1144"/>
      <c r="BS64" s="1143" t="s">
        <v>344</v>
      </c>
      <c r="BT64" s="1144"/>
      <c r="BU64" s="1143" t="s">
        <v>344</v>
      </c>
      <c r="BV64" s="1144"/>
      <c r="BW64" s="1143" t="s">
        <v>344</v>
      </c>
      <c r="BX64" s="1144"/>
      <c r="BY64" s="1143" t="s">
        <v>344</v>
      </c>
      <c r="BZ64" s="1144"/>
      <c r="CA64" s="1143" t="s">
        <v>344</v>
      </c>
      <c r="CB64" s="1144"/>
      <c r="CC64" s="1143" t="s">
        <v>344</v>
      </c>
      <c r="CD64" s="1144"/>
      <c r="CE64" s="1143" t="s">
        <v>344</v>
      </c>
      <c r="CF64" s="1144"/>
      <c r="CG64" s="1143" t="s">
        <v>344</v>
      </c>
      <c r="CH64" s="1144"/>
      <c r="CI64" s="1143" t="s">
        <v>344</v>
      </c>
      <c r="CJ64" s="1144"/>
      <c r="CK64" s="1143" t="s">
        <v>344</v>
      </c>
      <c r="CL64" s="1144"/>
      <c r="CM64" s="1143" t="s">
        <v>344</v>
      </c>
      <c r="CN64" s="1144"/>
      <c r="CO64" s="1143" t="s">
        <v>344</v>
      </c>
      <c r="CP64" s="1144"/>
      <c r="CQ64" s="1143" t="s">
        <v>344</v>
      </c>
      <c r="CR64" s="1144"/>
      <c r="CS64" s="1143" t="s">
        <v>344</v>
      </c>
      <c r="CT64" s="1144"/>
      <c r="CU64" s="1143" t="s">
        <v>344</v>
      </c>
      <c r="CV64" s="1144"/>
      <c r="CW64" s="1143" t="s">
        <v>344</v>
      </c>
      <c r="CX64" s="1144"/>
      <c r="CY64" s="1143" t="s">
        <v>344</v>
      </c>
      <c r="CZ64" s="1144"/>
      <c r="DA64" s="1143" t="s">
        <v>344</v>
      </c>
      <c r="DB64" s="1144"/>
      <c r="DC64" s="1143" t="s">
        <v>344</v>
      </c>
      <c r="DD64" s="1144"/>
      <c r="DE64" s="1146" t="s">
        <v>344</v>
      </c>
      <c r="DF64" s="1041"/>
      <c r="DG64" s="1209"/>
      <c r="DH64" s="1140"/>
      <c r="DI64" s="1140"/>
      <c r="DJ64" s="1140"/>
      <c r="DK64" s="1140"/>
      <c r="DL64" s="1141"/>
      <c r="DM64" s="1142"/>
      <c r="DN64" s="1143" t="s">
        <v>344</v>
      </c>
      <c r="DO64" s="1144"/>
      <c r="DP64" s="1143" t="s">
        <v>344</v>
      </c>
      <c r="DQ64" s="1144"/>
      <c r="DR64" s="1143" t="s">
        <v>344</v>
      </c>
      <c r="DS64" s="1144"/>
      <c r="DT64" s="1143" t="s">
        <v>344</v>
      </c>
      <c r="DU64" s="1144"/>
      <c r="DV64" s="1143" t="s">
        <v>344</v>
      </c>
      <c r="DW64" s="1144"/>
      <c r="DX64" s="1143" t="s">
        <v>344</v>
      </c>
      <c r="DY64" s="1144"/>
      <c r="DZ64" s="1143" t="s">
        <v>344</v>
      </c>
      <c r="EA64" s="1144"/>
      <c r="EB64" s="1143" t="s">
        <v>344</v>
      </c>
      <c r="EC64" s="1144"/>
      <c r="ED64" s="1143" t="s">
        <v>344</v>
      </c>
      <c r="EE64" s="1144"/>
      <c r="EF64" s="1143" t="s">
        <v>344</v>
      </c>
      <c r="EG64" s="1144"/>
      <c r="EH64" s="1143" t="s">
        <v>344</v>
      </c>
      <c r="EI64" s="1144"/>
      <c r="EJ64" s="1143" t="s">
        <v>344</v>
      </c>
      <c r="EK64" s="1144"/>
      <c r="EL64" s="1143" t="s">
        <v>344</v>
      </c>
      <c r="EM64" s="1144"/>
      <c r="EN64" s="1143" t="s">
        <v>344</v>
      </c>
      <c r="EO64" s="1144"/>
      <c r="EP64" s="1143" t="s">
        <v>344</v>
      </c>
      <c r="EQ64" s="1144"/>
      <c r="ER64" s="1143" t="s">
        <v>344</v>
      </c>
      <c r="ES64" s="1144"/>
      <c r="ET64" s="1143" t="s">
        <v>344</v>
      </c>
      <c r="EU64" s="1144"/>
      <c r="EV64" s="1143" t="s">
        <v>344</v>
      </c>
      <c r="EW64" s="1144"/>
      <c r="EX64" s="1143" t="s">
        <v>344</v>
      </c>
      <c r="EY64" s="1144"/>
      <c r="EZ64" s="1143" t="s">
        <v>344</v>
      </c>
      <c r="FA64" s="1144"/>
      <c r="FB64" s="1143" t="s">
        <v>344</v>
      </c>
      <c r="FC64" s="1144"/>
      <c r="FD64" s="1143" t="s">
        <v>344</v>
      </c>
      <c r="FE64" s="1144"/>
      <c r="FF64" s="1143" t="s">
        <v>344</v>
      </c>
      <c r="FG64" s="1144"/>
      <c r="FH64" s="1146" t="s">
        <v>344</v>
      </c>
      <c r="FI64" s="1041"/>
      <c r="FJ64" s="1209"/>
      <c r="FK64" s="1140"/>
      <c r="FL64" s="1140"/>
      <c r="FM64" s="1140"/>
      <c r="FN64" s="1140"/>
      <c r="FO64" s="1141"/>
      <c r="FP64" s="1147" t="s">
        <v>43</v>
      </c>
      <c r="FQ64" s="1145" t="s">
        <v>345</v>
      </c>
      <c r="FR64" s="1143" t="s">
        <v>344</v>
      </c>
      <c r="FS64" s="1148" t="s">
        <v>43</v>
      </c>
      <c r="FT64" s="1145" t="s">
        <v>345</v>
      </c>
      <c r="FU64" s="1149" t="s">
        <v>344</v>
      </c>
      <c r="FV64" s="1150" t="s">
        <v>43</v>
      </c>
      <c r="FW64" s="1143" t="s">
        <v>344</v>
      </c>
      <c r="FX64" s="1148" t="s">
        <v>43</v>
      </c>
      <c r="FY64" s="1143" t="s">
        <v>344</v>
      </c>
      <c r="FZ64" s="1148" t="s">
        <v>43</v>
      </c>
      <c r="GA64" s="1143" t="s">
        <v>344</v>
      </c>
      <c r="GB64" s="1148" t="s">
        <v>43</v>
      </c>
      <c r="GC64" s="1143" t="s">
        <v>344</v>
      </c>
      <c r="GD64" s="1148" t="s">
        <v>43</v>
      </c>
      <c r="GE64" s="1146" t="s">
        <v>344</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665</v>
      </c>
      <c r="FK66" s="1190"/>
      <c r="FL66" s="1229"/>
      <c r="FM66" s="1230" t="s">
        <v>666</v>
      </c>
      <c r="FN66" s="1231"/>
      <c r="FO66" s="1191"/>
      <c r="FP66" s="1197">
        <v>9</v>
      </c>
      <c r="FQ66" s="1232">
        <v>5.19</v>
      </c>
      <c r="FR66" s="1233">
        <v>0.7</v>
      </c>
      <c r="FS66" s="1200">
        <v>9</v>
      </c>
      <c r="FT66" s="1232">
        <v>3.49</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346</v>
      </c>
      <c r="B68" s="1241"/>
      <c r="C68" s="1241"/>
      <c r="D68" s="1241"/>
      <c r="E68" s="814"/>
      <c r="F68" s="814"/>
      <c r="G68" s="1242" t="s">
        <v>351</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346</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346</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346</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271</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273</v>
      </c>
      <c r="AY1" s="376" t="s">
        <v>558</v>
      </c>
      <c r="AZ1" s="376"/>
      <c r="BA1" s="376"/>
      <c r="BB1" s="379"/>
      <c r="BC1" s="380"/>
      <c r="BD1" s="375" t="s">
        <v>271</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273</v>
      </c>
      <c r="DB1" s="376" t="str">
        <f>$AY1</f>
        <v>9時-18時</v>
      </c>
      <c r="DC1" s="378"/>
      <c r="DD1" s="376"/>
      <c r="DE1" s="379"/>
      <c r="DF1" s="380"/>
      <c r="DG1" s="375" t="s">
        <v>271</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273</v>
      </c>
      <c r="FE1" s="376" t="str">
        <f>$AY1</f>
        <v>9時-18時</v>
      </c>
      <c r="FF1" s="378"/>
      <c r="FG1" s="376"/>
      <c r="FH1" s="379"/>
      <c r="FI1" s="381"/>
      <c r="FJ1" s="375" t="s">
        <v>271</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432</v>
      </c>
      <c r="GZ1" s="376" t="s">
        <v>352</v>
      </c>
      <c r="HA1" s="376"/>
      <c r="HB1" s="379"/>
      <c r="HC1" s="1448" t="s">
        <v>433</v>
      </c>
      <c r="HD1" s="382"/>
      <c r="HE1" s="383"/>
      <c r="HF1" s="382"/>
      <c r="HG1" s="1446"/>
      <c r="HH1" s="384" t="s">
        <v>274</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562</v>
      </c>
      <c r="B3" s="395">
        <v>205</v>
      </c>
      <c r="C3" s="396" t="s">
        <v>563</v>
      </c>
      <c r="D3" s="397" t="s">
        <v>564</v>
      </c>
      <c r="E3" s="397"/>
      <c r="F3" s="397"/>
      <c r="G3" s="397"/>
      <c r="H3" s="397"/>
      <c r="I3" s="397"/>
      <c r="J3" s="398"/>
      <c r="K3" s="399" t="s">
        <v>363</v>
      </c>
      <c r="L3" s="400"/>
      <c r="M3" s="399" t="s">
        <v>364</v>
      </c>
      <c r="N3" s="400"/>
      <c r="O3" s="401" t="s">
        <v>650</v>
      </c>
      <c r="P3" s="402"/>
      <c r="Q3" s="402"/>
      <c r="R3" s="402"/>
      <c r="S3" s="402"/>
      <c r="T3" s="402"/>
      <c r="U3" s="402"/>
      <c r="V3" s="403"/>
      <c r="W3" s="404" t="s">
        <v>365</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366</v>
      </c>
      <c r="BE3" s="395">
        <v>205</v>
      </c>
      <c r="BF3" s="396" t="s">
        <v>360</v>
      </c>
      <c r="BG3" s="408" t="s">
        <v>557</v>
      </c>
      <c r="BH3" s="408"/>
      <c r="BI3" s="408"/>
      <c r="BJ3" s="408"/>
      <c r="BK3" s="408"/>
      <c r="BL3" s="408"/>
      <c r="BM3" s="409"/>
      <c r="BN3" s="399" t="s">
        <v>363</v>
      </c>
      <c r="BO3" s="400"/>
      <c r="BP3" s="399" t="s">
        <v>364</v>
      </c>
      <c r="BQ3" s="400"/>
      <c r="BR3" s="401" t="s">
        <v>650</v>
      </c>
      <c r="BS3" s="402"/>
      <c r="BT3" s="402"/>
      <c r="BU3" s="402"/>
      <c r="BV3" s="402"/>
      <c r="BW3" s="402"/>
      <c r="BX3" s="402"/>
      <c r="BY3" s="403"/>
      <c r="BZ3" s="404" t="s">
        <v>365</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366</v>
      </c>
      <c r="DH3" s="395">
        <v>205</v>
      </c>
      <c r="DI3" s="396" t="s">
        <v>360</v>
      </c>
      <c r="DJ3" s="408" t="s">
        <v>557</v>
      </c>
      <c r="DK3" s="408"/>
      <c r="DL3" s="408"/>
      <c r="DM3" s="408"/>
      <c r="DN3" s="408"/>
      <c r="DO3" s="408"/>
      <c r="DP3" s="409"/>
      <c r="DQ3" s="399" t="s">
        <v>363</v>
      </c>
      <c r="DR3" s="400"/>
      <c r="DS3" s="399" t="s">
        <v>565</v>
      </c>
      <c r="DT3" s="400"/>
      <c r="DU3" s="401" t="s">
        <v>675</v>
      </c>
      <c r="DV3" s="402"/>
      <c r="DW3" s="402"/>
      <c r="DX3" s="402"/>
      <c r="DY3" s="402"/>
      <c r="DZ3" s="402"/>
      <c r="EA3" s="402"/>
      <c r="EB3" s="403"/>
      <c r="EC3" s="404" t="s">
        <v>365</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366</v>
      </c>
      <c r="FK3" s="395">
        <v>205</v>
      </c>
      <c r="FL3" s="396" t="s">
        <v>360</v>
      </c>
      <c r="FM3" s="408" t="s">
        <v>557</v>
      </c>
      <c r="FN3" s="408"/>
      <c r="FO3" s="408"/>
      <c r="FP3" s="408"/>
      <c r="FQ3" s="408"/>
      <c r="FR3" s="408"/>
      <c r="FS3" s="409"/>
      <c r="FT3" s="399" t="s">
        <v>363</v>
      </c>
      <c r="FU3" s="400"/>
      <c r="FV3" s="399" t="s">
        <v>364</v>
      </c>
      <c r="FW3" s="400"/>
      <c r="FX3" s="401" t="s">
        <v>658</v>
      </c>
      <c r="FY3" s="402"/>
      <c r="FZ3" s="402"/>
      <c r="GA3" s="402"/>
      <c r="GB3" s="402"/>
      <c r="GC3" s="402"/>
      <c r="GD3" s="402"/>
      <c r="GE3" s="403"/>
      <c r="GF3" s="404" t="s">
        <v>365</v>
      </c>
      <c r="GG3" s="405"/>
      <c r="GH3" s="406"/>
      <c r="GI3" s="410"/>
      <c r="GJ3" s="411" t="s">
        <v>434</v>
      </c>
      <c r="GK3" s="412"/>
      <c r="GL3" s="412"/>
      <c r="GM3" s="412"/>
      <c r="GN3" s="412"/>
      <c r="GO3" s="412"/>
      <c r="GP3" s="412"/>
      <c r="GQ3" s="412"/>
      <c r="GR3" s="413"/>
      <c r="GS3" s="414"/>
      <c r="GT3" s="411" t="s">
        <v>435</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367</v>
      </c>
      <c r="P4" s="426"/>
      <c r="Q4" s="427" t="s">
        <v>368</v>
      </c>
      <c r="R4" s="426"/>
      <c r="S4" s="428" t="s">
        <v>369</v>
      </c>
      <c r="T4" s="429"/>
      <c r="U4" s="430" t="s">
        <v>370</v>
      </c>
      <c r="V4" s="431"/>
      <c r="W4" s="432" t="s">
        <v>371</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367</v>
      </c>
      <c r="BS4" s="426"/>
      <c r="BT4" s="427" t="s">
        <v>368</v>
      </c>
      <c r="BU4" s="426"/>
      <c r="BV4" s="428" t="s">
        <v>369</v>
      </c>
      <c r="BW4" s="429"/>
      <c r="BX4" s="430" t="s">
        <v>370</v>
      </c>
      <c r="BY4" s="431"/>
      <c r="BZ4" s="432" t="s">
        <v>371</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367</v>
      </c>
      <c r="DV4" s="426"/>
      <c r="DW4" s="427" t="s">
        <v>368</v>
      </c>
      <c r="DX4" s="426"/>
      <c r="DY4" s="428" t="s">
        <v>369</v>
      </c>
      <c r="DZ4" s="429"/>
      <c r="EA4" s="430" t="s">
        <v>370</v>
      </c>
      <c r="EB4" s="431"/>
      <c r="EC4" s="432" t="s">
        <v>371</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367</v>
      </c>
      <c r="FY4" s="426"/>
      <c r="FZ4" s="427" t="s">
        <v>368</v>
      </c>
      <c r="GA4" s="426"/>
      <c r="GB4" s="428" t="s">
        <v>369</v>
      </c>
      <c r="GC4" s="429"/>
      <c r="GD4" s="430" t="s">
        <v>370</v>
      </c>
      <c r="GE4" s="431"/>
      <c r="GF4" s="432" t="s">
        <v>348</v>
      </c>
      <c r="GG4" s="433"/>
      <c r="GH4" s="434"/>
      <c r="GI4" s="410"/>
      <c r="GJ4" s="437"/>
      <c r="GK4" s="437"/>
      <c r="GL4" s="437"/>
      <c r="GM4" s="437"/>
      <c r="GN4" s="437"/>
      <c r="GO4" s="437"/>
      <c r="GP4" s="437"/>
      <c r="GQ4" s="437"/>
      <c r="GR4" s="437"/>
      <c r="GS4" s="414"/>
      <c r="GT4" s="437"/>
      <c r="GU4" s="437"/>
      <c r="GV4" s="437"/>
      <c r="GW4" s="437"/>
      <c r="GX4" s="437"/>
      <c r="GY4" s="437"/>
      <c r="GZ4" s="437"/>
      <c r="HA4" s="437"/>
      <c r="HB4" s="437"/>
      <c r="HC4" s="1449"/>
      <c r="HD4" s="438"/>
      <c r="HE4" s="438"/>
      <c r="HF4" s="501"/>
      <c r="HG4" s="387"/>
      <c r="MO4" s="393" t="s">
        <v>348</v>
      </c>
    </row>
    <row r="5" spans="1:353" ht="24.95" customHeight="1" thickBot="1">
      <c r="A5" s="439" t="s">
        <v>373</v>
      </c>
      <c r="B5" s="440">
        <v>2</v>
      </c>
      <c r="C5" s="441" t="s">
        <v>374</v>
      </c>
      <c r="D5" s="442">
        <v>13.2</v>
      </c>
      <c r="E5" s="443" t="s">
        <v>375</v>
      </c>
      <c r="F5" s="444">
        <v>2.8</v>
      </c>
      <c r="G5" s="445" t="s">
        <v>376</v>
      </c>
      <c r="H5" s="446"/>
      <c r="I5" s="447">
        <v>37</v>
      </c>
      <c r="J5" s="448"/>
      <c r="K5" s="449">
        <v>120</v>
      </c>
      <c r="L5" s="450"/>
      <c r="M5" s="449">
        <v>20</v>
      </c>
      <c r="N5" s="450"/>
      <c r="O5" s="1442" t="s">
        <v>683</v>
      </c>
      <c r="P5" s="451"/>
      <c r="Q5" s="1443" t="s">
        <v>684</v>
      </c>
      <c r="R5" s="452"/>
      <c r="S5" s="1444" t="s">
        <v>685</v>
      </c>
      <c r="T5" s="453"/>
      <c r="U5" s="1445" t="s">
        <v>686</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373</v>
      </c>
      <c r="BE5" s="440">
        <v>2</v>
      </c>
      <c r="BF5" s="441" t="s">
        <v>276</v>
      </c>
      <c r="BG5" s="442">
        <v>13.2</v>
      </c>
      <c r="BH5" s="443" t="s">
        <v>375</v>
      </c>
      <c r="BI5" s="444">
        <v>2.8</v>
      </c>
      <c r="BJ5" s="445" t="s">
        <v>376</v>
      </c>
      <c r="BK5" s="446"/>
      <c r="BL5" s="447">
        <v>37</v>
      </c>
      <c r="BM5" s="448"/>
      <c r="BN5" s="449">
        <v>120</v>
      </c>
      <c r="BO5" s="450"/>
      <c r="BP5" s="449">
        <v>20</v>
      </c>
      <c r="BQ5" s="450"/>
      <c r="BR5" s="1442" t="s">
        <v>651</v>
      </c>
      <c r="BS5" s="451"/>
      <c r="BT5" s="1443" t="s">
        <v>687</v>
      </c>
      <c r="BU5" s="452"/>
      <c r="BV5" s="1444" t="s">
        <v>676</v>
      </c>
      <c r="BW5" s="453"/>
      <c r="BX5" s="1445" t="s">
        <v>686</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373</v>
      </c>
      <c r="DH5" s="440">
        <v>2</v>
      </c>
      <c r="DI5" s="441" t="s">
        <v>276</v>
      </c>
      <c r="DJ5" s="442">
        <v>13.2</v>
      </c>
      <c r="DK5" s="443" t="s">
        <v>375</v>
      </c>
      <c r="DL5" s="444">
        <v>2.8</v>
      </c>
      <c r="DM5" s="445" t="s">
        <v>376</v>
      </c>
      <c r="DN5" s="446"/>
      <c r="DO5" s="447">
        <v>37</v>
      </c>
      <c r="DP5" s="448"/>
      <c r="DQ5" s="449">
        <v>120</v>
      </c>
      <c r="DR5" s="450"/>
      <c r="DS5" s="449">
        <v>20</v>
      </c>
      <c r="DT5" s="450"/>
      <c r="DU5" s="1442" t="s">
        <v>688</v>
      </c>
      <c r="DV5" s="451"/>
      <c r="DW5" s="1443" t="s">
        <v>689</v>
      </c>
      <c r="DX5" s="452"/>
      <c r="DY5" s="1444" t="s">
        <v>690</v>
      </c>
      <c r="DZ5" s="453"/>
      <c r="EA5" s="1445" t="s">
        <v>674</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373</v>
      </c>
      <c r="FK5" s="440">
        <v>2</v>
      </c>
      <c r="FL5" s="441" t="s">
        <v>276</v>
      </c>
      <c r="FM5" s="442">
        <v>13.2</v>
      </c>
      <c r="FN5" s="443" t="s">
        <v>544</v>
      </c>
      <c r="FO5" s="444">
        <v>2.8</v>
      </c>
      <c r="FP5" s="445" t="s">
        <v>566</v>
      </c>
      <c r="FQ5" s="446"/>
      <c r="FR5" s="447">
        <v>37</v>
      </c>
      <c r="FS5" s="448"/>
      <c r="FT5" s="449">
        <v>120</v>
      </c>
      <c r="FU5" s="450"/>
      <c r="FV5" s="449">
        <v>20</v>
      </c>
      <c r="FW5" s="450"/>
      <c r="FX5" s="1442" t="s">
        <v>691</v>
      </c>
      <c r="FY5" s="451"/>
      <c r="FZ5" s="1443" t="s">
        <v>692</v>
      </c>
      <c r="GA5" s="452"/>
      <c r="GB5" s="1444" t="s">
        <v>693</v>
      </c>
      <c r="GC5" s="453"/>
      <c r="GD5" s="1445" t="s">
        <v>657</v>
      </c>
      <c r="GE5" s="454"/>
      <c r="GF5" s="455"/>
      <c r="GG5" s="456"/>
      <c r="GH5" s="457"/>
      <c r="GI5" s="459"/>
      <c r="GJ5" s="410"/>
      <c r="GK5" s="460" t="s">
        <v>436</v>
      </c>
      <c r="GL5" s="460"/>
      <c r="GM5" s="460"/>
      <c r="GN5" s="410" t="s">
        <v>437</v>
      </c>
      <c r="GO5" s="461"/>
      <c r="GP5" s="461"/>
      <c r="GQ5" s="461"/>
      <c r="GR5" s="410"/>
      <c r="GS5" s="410"/>
      <c r="GT5" s="414"/>
      <c r="GU5" s="460" t="s">
        <v>438</v>
      </c>
      <c r="GV5" s="460"/>
      <c r="GW5" s="460"/>
      <c r="GX5" s="410" t="s">
        <v>437</v>
      </c>
      <c r="GY5" s="461"/>
      <c r="GZ5" s="461"/>
      <c r="HA5" s="461"/>
      <c r="HB5" s="410"/>
      <c r="HC5" s="462"/>
      <c r="HD5" s="438"/>
      <c r="HE5" s="438"/>
      <c r="HF5" s="501"/>
      <c r="HG5" s="387"/>
    </row>
    <row r="6" spans="1:353" ht="20.100000000000001" customHeight="1" thickBot="1">
      <c r="A6" s="463" t="s">
        <v>567</v>
      </c>
      <c r="B6" s="464"/>
      <c r="C6" s="465" t="s">
        <v>378</v>
      </c>
      <c r="D6" s="465"/>
      <c r="E6" s="465"/>
      <c r="F6" s="466">
        <v>0</v>
      </c>
      <c r="G6" s="466"/>
      <c r="H6" s="465" t="s">
        <v>379</v>
      </c>
      <c r="I6" s="465"/>
      <c r="J6" s="465"/>
      <c r="K6" s="465"/>
      <c r="L6" s="465"/>
      <c r="M6" s="467">
        <v>0</v>
      </c>
      <c r="N6" s="467"/>
      <c r="O6" s="468"/>
      <c r="P6" s="469"/>
      <c r="Q6" s="469" t="s">
        <v>380</v>
      </c>
      <c r="R6" s="470">
        <v>0</v>
      </c>
      <c r="S6" s="470"/>
      <c r="T6" s="471"/>
      <c r="U6" s="472" t="s">
        <v>381</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383</v>
      </c>
      <c r="BC6" s="476"/>
      <c r="BD6" s="463" t="s">
        <v>377</v>
      </c>
      <c r="BE6" s="464"/>
      <c r="BF6" s="465" t="s">
        <v>378</v>
      </c>
      <c r="BG6" s="465"/>
      <c r="BH6" s="465"/>
      <c r="BI6" s="466">
        <v>0</v>
      </c>
      <c r="BJ6" s="466"/>
      <c r="BK6" s="465" t="s">
        <v>379</v>
      </c>
      <c r="BL6" s="465"/>
      <c r="BM6" s="465"/>
      <c r="BN6" s="465"/>
      <c r="BO6" s="465"/>
      <c r="BP6" s="467">
        <v>0</v>
      </c>
      <c r="BQ6" s="467"/>
      <c r="BR6" s="468"/>
      <c r="BS6" s="469"/>
      <c r="BT6" s="469" t="s">
        <v>277</v>
      </c>
      <c r="BU6" s="470">
        <v>0</v>
      </c>
      <c r="BV6" s="470"/>
      <c r="BW6" s="471"/>
      <c r="BX6" s="472" t="s">
        <v>278</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385</v>
      </c>
      <c r="DF6" s="478"/>
      <c r="DG6" s="463" t="s">
        <v>377</v>
      </c>
      <c r="DH6" s="464"/>
      <c r="DI6" s="465" t="s">
        <v>378</v>
      </c>
      <c r="DJ6" s="465"/>
      <c r="DK6" s="465"/>
      <c r="DL6" s="466">
        <v>0</v>
      </c>
      <c r="DM6" s="466"/>
      <c r="DN6" s="465" t="s">
        <v>379</v>
      </c>
      <c r="DO6" s="465"/>
      <c r="DP6" s="465"/>
      <c r="DQ6" s="465"/>
      <c r="DR6" s="465"/>
      <c r="DS6" s="467">
        <v>0</v>
      </c>
      <c r="DT6" s="467"/>
      <c r="DU6" s="468"/>
      <c r="DV6" s="469"/>
      <c r="DW6" s="469" t="s">
        <v>277</v>
      </c>
      <c r="DX6" s="470">
        <v>0</v>
      </c>
      <c r="DY6" s="470"/>
      <c r="DZ6" s="471"/>
      <c r="EA6" s="472" t="s">
        <v>278</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387</v>
      </c>
      <c r="FI6" s="478"/>
      <c r="FJ6" s="463" t="s">
        <v>388</v>
      </c>
      <c r="FK6" s="464"/>
      <c r="FL6" s="465" t="s">
        <v>378</v>
      </c>
      <c r="FM6" s="465"/>
      <c r="FN6" s="465"/>
      <c r="FO6" s="466">
        <v>0</v>
      </c>
      <c r="FP6" s="466"/>
      <c r="FQ6" s="465" t="s">
        <v>379</v>
      </c>
      <c r="FR6" s="465"/>
      <c r="FS6" s="465"/>
      <c r="FT6" s="465"/>
      <c r="FU6" s="465"/>
      <c r="FV6" s="467">
        <v>0</v>
      </c>
      <c r="FW6" s="467"/>
      <c r="FX6" s="468"/>
      <c r="FY6" s="469"/>
      <c r="FZ6" s="469" t="s">
        <v>389</v>
      </c>
      <c r="GA6" s="470">
        <v>0</v>
      </c>
      <c r="GB6" s="470"/>
      <c r="GC6" s="471"/>
      <c r="GD6" s="472" t="s">
        <v>390</v>
      </c>
      <c r="GE6" s="473">
        <v>0</v>
      </c>
      <c r="GF6" s="473"/>
      <c r="GG6" s="474"/>
      <c r="GH6" s="469"/>
      <c r="GI6" s="469"/>
      <c r="GJ6" s="480"/>
      <c r="GK6" s="481" t="s">
        <v>439</v>
      </c>
      <c r="GL6" s="481"/>
      <c r="GM6" s="481"/>
      <c r="GN6" s="482">
        <v>2</v>
      </c>
      <c r="GO6" s="483"/>
      <c r="GP6" s="483"/>
      <c r="GQ6" s="483"/>
      <c r="GR6" s="480"/>
      <c r="GS6" s="480"/>
      <c r="GT6" s="414"/>
      <c r="GU6" s="481" t="s">
        <v>440</v>
      </c>
      <c r="GV6" s="481"/>
      <c r="GW6" s="481"/>
      <c r="GX6" s="482">
        <v>2</v>
      </c>
      <c r="GY6" s="414"/>
      <c r="GZ6" s="414"/>
      <c r="HA6" s="483"/>
      <c r="HB6" s="483"/>
      <c r="HC6" s="484"/>
      <c r="HD6" s="438"/>
      <c r="HE6" s="438"/>
      <c r="HF6" s="501"/>
      <c r="HG6" s="387"/>
    </row>
    <row r="7" spans="1:353" ht="20.100000000000001" customHeight="1">
      <c r="A7" s="485" t="s">
        <v>279</v>
      </c>
      <c r="B7" s="486"/>
      <c r="C7" s="486"/>
      <c r="D7" s="486"/>
      <c r="E7" s="486"/>
      <c r="F7" s="487"/>
      <c r="G7" s="488" t="s">
        <v>280</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279</v>
      </c>
      <c r="BE7" s="486"/>
      <c r="BF7" s="486"/>
      <c r="BG7" s="486"/>
      <c r="BH7" s="486"/>
      <c r="BI7" s="487"/>
      <c r="BJ7" s="488" t="s">
        <v>281</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279</v>
      </c>
      <c r="DH7" s="486"/>
      <c r="DI7" s="486"/>
      <c r="DJ7" s="486"/>
      <c r="DK7" s="486"/>
      <c r="DL7" s="487"/>
      <c r="DM7" s="488" t="s">
        <v>282</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279</v>
      </c>
      <c r="FK7" s="486"/>
      <c r="FL7" s="486"/>
      <c r="FM7" s="486"/>
      <c r="FN7" s="486"/>
      <c r="FO7" s="487"/>
      <c r="FP7" s="491" t="s">
        <v>283</v>
      </c>
      <c r="FQ7" s="492"/>
      <c r="FR7" s="492"/>
      <c r="FS7" s="492"/>
      <c r="FT7" s="492"/>
      <c r="FU7" s="492"/>
      <c r="FV7" s="493" t="s">
        <v>284</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285</v>
      </c>
      <c r="FQ8" s="518"/>
      <c r="FR8" s="519"/>
      <c r="FS8" s="520" t="s">
        <v>286</v>
      </c>
      <c r="FT8" s="520"/>
      <c r="FU8" s="521"/>
      <c r="FV8" s="522"/>
      <c r="FW8" s="523"/>
      <c r="FX8" s="523"/>
      <c r="FY8" s="523"/>
      <c r="FZ8" s="523"/>
      <c r="GA8" s="523"/>
      <c r="GB8" s="523"/>
      <c r="GC8" s="523"/>
      <c r="GD8" s="523"/>
      <c r="GE8" s="524"/>
      <c r="GF8" s="496"/>
      <c r="GG8" s="480"/>
      <c r="GH8" s="480"/>
      <c r="GI8" s="480"/>
      <c r="GJ8" s="525" t="s">
        <v>417</v>
      </c>
      <c r="GK8" s="525"/>
      <c r="GL8" s="526"/>
      <c r="GM8" s="527"/>
      <c r="GN8" s="526"/>
      <c r="GO8" s="527"/>
      <c r="GP8" s="526"/>
      <c r="GQ8" s="526"/>
      <c r="GR8" s="526"/>
      <c r="GS8" s="526"/>
      <c r="GT8" s="525" t="s">
        <v>417</v>
      </c>
      <c r="GU8" s="525"/>
      <c r="GV8" s="414"/>
      <c r="GW8" s="480"/>
      <c r="GX8" s="483"/>
      <c r="GY8" s="480"/>
      <c r="GZ8" s="483"/>
      <c r="HA8" s="527"/>
      <c r="HB8" s="527"/>
      <c r="HC8" s="527"/>
      <c r="HD8" s="438"/>
      <c r="HE8" s="438"/>
      <c r="HF8" s="1447"/>
      <c r="HG8" s="1447"/>
    </row>
    <row r="9" spans="1:353" ht="22.5" customHeight="1">
      <c r="A9" s="529" t="s">
        <v>287</v>
      </c>
      <c r="B9" s="530" t="s">
        <v>288</v>
      </c>
      <c r="C9" s="531" t="s">
        <v>289</v>
      </c>
      <c r="D9" s="531" t="s">
        <v>545</v>
      </c>
      <c r="E9" s="532" t="s">
        <v>546</v>
      </c>
      <c r="F9" s="533" t="s">
        <v>292</v>
      </c>
      <c r="G9" s="534" t="s">
        <v>547</v>
      </c>
      <c r="H9" s="535" t="s">
        <v>548</v>
      </c>
      <c r="I9" s="536" t="s">
        <v>295</v>
      </c>
      <c r="J9" s="535" t="s">
        <v>548</v>
      </c>
      <c r="K9" s="536" t="s">
        <v>295</v>
      </c>
      <c r="L9" s="535" t="s">
        <v>548</v>
      </c>
      <c r="M9" s="536" t="s">
        <v>295</v>
      </c>
      <c r="N9" s="535" t="s">
        <v>548</v>
      </c>
      <c r="O9" s="536" t="s">
        <v>295</v>
      </c>
      <c r="P9" s="535" t="s">
        <v>548</v>
      </c>
      <c r="Q9" s="536" t="s">
        <v>295</v>
      </c>
      <c r="R9" s="535" t="s">
        <v>548</v>
      </c>
      <c r="S9" s="536" t="s">
        <v>295</v>
      </c>
      <c r="T9" s="535" t="s">
        <v>548</v>
      </c>
      <c r="U9" s="536" t="s">
        <v>295</v>
      </c>
      <c r="V9" s="535" t="s">
        <v>548</v>
      </c>
      <c r="W9" s="536" t="s">
        <v>295</v>
      </c>
      <c r="X9" s="535" t="s">
        <v>548</v>
      </c>
      <c r="Y9" s="536" t="s">
        <v>295</v>
      </c>
      <c r="Z9" s="535" t="s">
        <v>548</v>
      </c>
      <c r="AA9" s="536" t="s">
        <v>295</v>
      </c>
      <c r="AB9" s="535" t="s">
        <v>548</v>
      </c>
      <c r="AC9" s="536" t="s">
        <v>295</v>
      </c>
      <c r="AD9" s="535" t="s">
        <v>548</v>
      </c>
      <c r="AE9" s="536" t="s">
        <v>295</v>
      </c>
      <c r="AF9" s="535" t="s">
        <v>548</v>
      </c>
      <c r="AG9" s="536" t="s">
        <v>295</v>
      </c>
      <c r="AH9" s="535" t="s">
        <v>548</v>
      </c>
      <c r="AI9" s="536" t="s">
        <v>295</v>
      </c>
      <c r="AJ9" s="535" t="s">
        <v>548</v>
      </c>
      <c r="AK9" s="536" t="s">
        <v>295</v>
      </c>
      <c r="AL9" s="535" t="s">
        <v>548</v>
      </c>
      <c r="AM9" s="536" t="s">
        <v>295</v>
      </c>
      <c r="AN9" s="535" t="s">
        <v>548</v>
      </c>
      <c r="AO9" s="536" t="s">
        <v>295</v>
      </c>
      <c r="AP9" s="535" t="s">
        <v>548</v>
      </c>
      <c r="AQ9" s="536" t="s">
        <v>295</v>
      </c>
      <c r="AR9" s="535" t="s">
        <v>548</v>
      </c>
      <c r="AS9" s="536" t="s">
        <v>295</v>
      </c>
      <c r="AT9" s="535" t="s">
        <v>548</v>
      </c>
      <c r="AU9" s="536" t="s">
        <v>295</v>
      </c>
      <c r="AV9" s="535" t="s">
        <v>548</v>
      </c>
      <c r="AW9" s="536" t="s">
        <v>295</v>
      </c>
      <c r="AX9" s="535" t="s">
        <v>548</v>
      </c>
      <c r="AY9" s="536" t="s">
        <v>295</v>
      </c>
      <c r="AZ9" s="535" t="s">
        <v>548</v>
      </c>
      <c r="BA9" s="536" t="s">
        <v>295</v>
      </c>
      <c r="BB9" s="537" t="s">
        <v>297</v>
      </c>
      <c r="BC9" s="500"/>
      <c r="BD9" s="529" t="s">
        <v>287</v>
      </c>
      <c r="BE9" s="530" t="s">
        <v>288</v>
      </c>
      <c r="BF9" s="531" t="s">
        <v>289</v>
      </c>
      <c r="BG9" s="531" t="s">
        <v>545</v>
      </c>
      <c r="BH9" s="532" t="s">
        <v>546</v>
      </c>
      <c r="BI9" s="533" t="s">
        <v>292</v>
      </c>
      <c r="BJ9" s="534" t="s">
        <v>547</v>
      </c>
      <c r="BK9" s="535" t="s">
        <v>548</v>
      </c>
      <c r="BL9" s="536" t="s">
        <v>295</v>
      </c>
      <c r="BM9" s="535" t="s">
        <v>548</v>
      </c>
      <c r="BN9" s="536" t="s">
        <v>295</v>
      </c>
      <c r="BO9" s="535" t="s">
        <v>548</v>
      </c>
      <c r="BP9" s="536" t="s">
        <v>295</v>
      </c>
      <c r="BQ9" s="535" t="s">
        <v>548</v>
      </c>
      <c r="BR9" s="536" t="s">
        <v>295</v>
      </c>
      <c r="BS9" s="535" t="s">
        <v>548</v>
      </c>
      <c r="BT9" s="536" t="s">
        <v>295</v>
      </c>
      <c r="BU9" s="535" t="s">
        <v>548</v>
      </c>
      <c r="BV9" s="536" t="s">
        <v>295</v>
      </c>
      <c r="BW9" s="535" t="s">
        <v>548</v>
      </c>
      <c r="BX9" s="536" t="s">
        <v>295</v>
      </c>
      <c r="BY9" s="535" t="s">
        <v>548</v>
      </c>
      <c r="BZ9" s="536" t="s">
        <v>295</v>
      </c>
      <c r="CA9" s="535" t="s">
        <v>548</v>
      </c>
      <c r="CB9" s="536" t="s">
        <v>295</v>
      </c>
      <c r="CC9" s="535" t="s">
        <v>548</v>
      </c>
      <c r="CD9" s="536" t="s">
        <v>295</v>
      </c>
      <c r="CE9" s="535" t="s">
        <v>548</v>
      </c>
      <c r="CF9" s="536" t="s">
        <v>295</v>
      </c>
      <c r="CG9" s="535" t="s">
        <v>548</v>
      </c>
      <c r="CH9" s="536" t="s">
        <v>295</v>
      </c>
      <c r="CI9" s="535" t="s">
        <v>548</v>
      </c>
      <c r="CJ9" s="536" t="s">
        <v>295</v>
      </c>
      <c r="CK9" s="535" t="s">
        <v>548</v>
      </c>
      <c r="CL9" s="536" t="s">
        <v>295</v>
      </c>
      <c r="CM9" s="535" t="s">
        <v>548</v>
      </c>
      <c r="CN9" s="536" t="s">
        <v>295</v>
      </c>
      <c r="CO9" s="535" t="s">
        <v>548</v>
      </c>
      <c r="CP9" s="536" t="s">
        <v>295</v>
      </c>
      <c r="CQ9" s="535" t="s">
        <v>548</v>
      </c>
      <c r="CR9" s="536" t="s">
        <v>295</v>
      </c>
      <c r="CS9" s="535" t="s">
        <v>548</v>
      </c>
      <c r="CT9" s="536" t="s">
        <v>295</v>
      </c>
      <c r="CU9" s="535" t="s">
        <v>548</v>
      </c>
      <c r="CV9" s="536" t="s">
        <v>295</v>
      </c>
      <c r="CW9" s="535" t="s">
        <v>548</v>
      </c>
      <c r="CX9" s="536" t="s">
        <v>295</v>
      </c>
      <c r="CY9" s="535" t="s">
        <v>548</v>
      </c>
      <c r="CZ9" s="536" t="s">
        <v>295</v>
      </c>
      <c r="DA9" s="535" t="s">
        <v>548</v>
      </c>
      <c r="DB9" s="536" t="s">
        <v>295</v>
      </c>
      <c r="DC9" s="535" t="s">
        <v>548</v>
      </c>
      <c r="DD9" s="536" t="s">
        <v>295</v>
      </c>
      <c r="DE9" s="537" t="s">
        <v>297</v>
      </c>
      <c r="DF9" s="500"/>
      <c r="DG9" s="529" t="s">
        <v>287</v>
      </c>
      <c r="DH9" s="530" t="s">
        <v>288</v>
      </c>
      <c r="DI9" s="531" t="s">
        <v>289</v>
      </c>
      <c r="DJ9" s="531" t="s">
        <v>545</v>
      </c>
      <c r="DK9" s="532" t="s">
        <v>546</v>
      </c>
      <c r="DL9" s="533" t="s">
        <v>292</v>
      </c>
      <c r="DM9" s="534" t="s">
        <v>547</v>
      </c>
      <c r="DN9" s="535" t="s">
        <v>548</v>
      </c>
      <c r="DO9" s="536" t="s">
        <v>295</v>
      </c>
      <c r="DP9" s="535" t="s">
        <v>548</v>
      </c>
      <c r="DQ9" s="536" t="s">
        <v>295</v>
      </c>
      <c r="DR9" s="535" t="s">
        <v>548</v>
      </c>
      <c r="DS9" s="536" t="s">
        <v>295</v>
      </c>
      <c r="DT9" s="535" t="s">
        <v>548</v>
      </c>
      <c r="DU9" s="536" t="s">
        <v>295</v>
      </c>
      <c r="DV9" s="535" t="s">
        <v>548</v>
      </c>
      <c r="DW9" s="536" t="s">
        <v>295</v>
      </c>
      <c r="DX9" s="535" t="s">
        <v>548</v>
      </c>
      <c r="DY9" s="536" t="s">
        <v>295</v>
      </c>
      <c r="DZ9" s="535" t="s">
        <v>548</v>
      </c>
      <c r="EA9" s="536" t="s">
        <v>295</v>
      </c>
      <c r="EB9" s="535" t="s">
        <v>548</v>
      </c>
      <c r="EC9" s="536" t="s">
        <v>295</v>
      </c>
      <c r="ED9" s="535" t="s">
        <v>548</v>
      </c>
      <c r="EE9" s="536" t="s">
        <v>295</v>
      </c>
      <c r="EF9" s="535" t="s">
        <v>548</v>
      </c>
      <c r="EG9" s="536" t="s">
        <v>295</v>
      </c>
      <c r="EH9" s="535" t="s">
        <v>548</v>
      </c>
      <c r="EI9" s="536" t="s">
        <v>295</v>
      </c>
      <c r="EJ9" s="535" t="s">
        <v>548</v>
      </c>
      <c r="EK9" s="536" t="s">
        <v>295</v>
      </c>
      <c r="EL9" s="535" t="s">
        <v>548</v>
      </c>
      <c r="EM9" s="536" t="s">
        <v>295</v>
      </c>
      <c r="EN9" s="535" t="s">
        <v>548</v>
      </c>
      <c r="EO9" s="536" t="s">
        <v>295</v>
      </c>
      <c r="EP9" s="535" t="s">
        <v>548</v>
      </c>
      <c r="EQ9" s="536" t="s">
        <v>295</v>
      </c>
      <c r="ER9" s="535" t="s">
        <v>548</v>
      </c>
      <c r="ES9" s="536" t="s">
        <v>295</v>
      </c>
      <c r="ET9" s="535" t="s">
        <v>548</v>
      </c>
      <c r="EU9" s="536" t="s">
        <v>295</v>
      </c>
      <c r="EV9" s="535" t="s">
        <v>548</v>
      </c>
      <c r="EW9" s="536" t="s">
        <v>295</v>
      </c>
      <c r="EX9" s="535" t="s">
        <v>548</v>
      </c>
      <c r="EY9" s="536" t="s">
        <v>295</v>
      </c>
      <c r="EZ9" s="535" t="s">
        <v>548</v>
      </c>
      <c r="FA9" s="536" t="s">
        <v>295</v>
      </c>
      <c r="FB9" s="535" t="s">
        <v>548</v>
      </c>
      <c r="FC9" s="536" t="s">
        <v>295</v>
      </c>
      <c r="FD9" s="535" t="s">
        <v>548</v>
      </c>
      <c r="FE9" s="536" t="s">
        <v>295</v>
      </c>
      <c r="FF9" s="535" t="s">
        <v>548</v>
      </c>
      <c r="FG9" s="536" t="s">
        <v>295</v>
      </c>
      <c r="FH9" s="537" t="s">
        <v>297</v>
      </c>
      <c r="FI9" s="538"/>
      <c r="FJ9" s="539" t="s">
        <v>287</v>
      </c>
      <c r="FK9" s="530" t="s">
        <v>288</v>
      </c>
      <c r="FL9" s="531" t="s">
        <v>289</v>
      </c>
      <c r="FM9" s="531" t="s">
        <v>545</v>
      </c>
      <c r="FN9" s="532" t="s">
        <v>546</v>
      </c>
      <c r="FO9" s="533" t="s">
        <v>292</v>
      </c>
      <c r="FP9" s="540" t="s">
        <v>43</v>
      </c>
      <c r="FQ9" s="541" t="s">
        <v>295</v>
      </c>
      <c r="FR9" s="535" t="s">
        <v>297</v>
      </c>
      <c r="FS9" s="542" t="s">
        <v>43</v>
      </c>
      <c r="FT9" s="541" t="s">
        <v>295</v>
      </c>
      <c r="FU9" s="535" t="s">
        <v>297</v>
      </c>
      <c r="FV9" s="522"/>
      <c r="FW9" s="523"/>
      <c r="FX9" s="523"/>
      <c r="FY9" s="523"/>
      <c r="FZ9" s="523"/>
      <c r="GA9" s="523"/>
      <c r="GB9" s="523"/>
      <c r="GC9" s="523"/>
      <c r="GD9" s="543"/>
      <c r="GE9" s="544"/>
      <c r="GF9" s="496"/>
      <c r="GG9" s="545"/>
      <c r="GH9" s="545"/>
      <c r="GI9" s="545"/>
      <c r="GJ9" s="526"/>
      <c r="GK9" s="527" t="s">
        <v>441</v>
      </c>
      <c r="GL9" s="526"/>
      <c r="GM9" s="527"/>
      <c r="GN9" s="526"/>
      <c r="GO9" s="546">
        <v>0.92</v>
      </c>
      <c r="GP9" s="526"/>
      <c r="GQ9" s="526"/>
      <c r="GR9" s="526"/>
      <c r="GS9" s="526"/>
      <c r="GT9" s="547"/>
      <c r="GU9" s="480" t="s">
        <v>442</v>
      </c>
      <c r="GV9" s="414"/>
      <c r="GW9" s="480"/>
      <c r="GX9" s="548">
        <v>1</v>
      </c>
      <c r="GY9" s="480"/>
      <c r="GZ9" s="483"/>
      <c r="HA9" s="527"/>
      <c r="HB9" s="527"/>
      <c r="HC9" s="527"/>
      <c r="HD9" s="438"/>
      <c r="HE9" s="438"/>
      <c r="HF9" s="1451"/>
      <c r="HG9" s="1451"/>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518</v>
      </c>
      <c r="FS10" s="563"/>
      <c r="FT10" s="555"/>
      <c r="FU10" s="564" t="s">
        <v>549</v>
      </c>
      <c r="FV10" s="565" t="s">
        <v>301</v>
      </c>
      <c r="FW10" s="1265"/>
      <c r="FX10" s="1266" t="s">
        <v>302</v>
      </c>
      <c r="FY10" s="1267"/>
      <c r="FZ10" s="1268" t="s">
        <v>303</v>
      </c>
      <c r="GA10" s="1269"/>
      <c r="GB10" s="1270" t="s">
        <v>560</v>
      </c>
      <c r="GC10" s="1271"/>
      <c r="GD10" s="573" t="s">
        <v>561</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1"/>
      <c r="HG10" s="1451"/>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549</v>
      </c>
      <c r="FS11" s="588"/>
      <c r="FT11" s="583"/>
      <c r="FU11" s="589" t="s">
        <v>549</v>
      </c>
      <c r="FV11" s="590"/>
      <c r="FW11" s="591"/>
      <c r="FX11" s="592"/>
      <c r="FY11" s="593"/>
      <c r="FZ11" s="594"/>
      <c r="GA11" s="595"/>
      <c r="GB11" s="596"/>
      <c r="GC11" s="597"/>
      <c r="GD11" s="596"/>
      <c r="GE11" s="598"/>
      <c r="GF11" s="496"/>
      <c r="GG11" s="599"/>
      <c r="GH11" s="599"/>
      <c r="GI11" s="599"/>
      <c r="GJ11" s="526"/>
      <c r="GK11" s="577" t="s">
        <v>443</v>
      </c>
      <c r="GL11" s="414"/>
      <c r="GM11" s="480"/>
      <c r="GN11" s="483"/>
      <c r="GO11" s="480"/>
      <c r="GP11" s="414"/>
      <c r="GQ11" s="526"/>
      <c r="GR11" s="526"/>
      <c r="GS11" s="526"/>
      <c r="GT11" s="545"/>
      <c r="GU11" s="577" t="s">
        <v>444</v>
      </c>
      <c r="GV11" s="414"/>
      <c r="GW11" s="480"/>
      <c r="GX11" s="483"/>
      <c r="GY11" s="480"/>
      <c r="GZ11" s="414"/>
      <c r="HA11" s="527"/>
      <c r="HB11" s="527"/>
      <c r="HC11" s="410"/>
      <c r="HD11" s="792"/>
      <c r="HE11" s="438"/>
      <c r="HF11" s="1451"/>
      <c r="HG11" s="1451"/>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549</v>
      </c>
      <c r="FS12" s="588"/>
      <c r="FT12" s="583"/>
      <c r="FU12" s="589" t="s">
        <v>518</v>
      </c>
      <c r="FV12" s="590"/>
      <c r="FW12" s="591"/>
      <c r="FX12" s="592"/>
      <c r="FY12" s="593"/>
      <c r="FZ12" s="594"/>
      <c r="GA12" s="595"/>
      <c r="GB12" s="596"/>
      <c r="GC12" s="597"/>
      <c r="GD12" s="596"/>
      <c r="GE12" s="598"/>
      <c r="GF12" s="496"/>
      <c r="GG12" s="599"/>
      <c r="GH12" s="599"/>
      <c r="GI12" s="599"/>
      <c r="GJ12" s="414"/>
      <c r="GK12" s="600" t="s">
        <v>366</v>
      </c>
      <c r="GL12" s="601"/>
      <c r="GM12" s="602" t="s">
        <v>445</v>
      </c>
      <c r="GN12" s="603" t="s">
        <v>446</v>
      </c>
      <c r="GO12" s="604" t="s">
        <v>447</v>
      </c>
      <c r="GP12" s="605" t="s">
        <v>448</v>
      </c>
      <c r="GQ12" s="604" t="s">
        <v>449</v>
      </c>
      <c r="GR12" s="604" t="s">
        <v>450</v>
      </c>
      <c r="GS12" s="606"/>
      <c r="GT12" s="545"/>
      <c r="GU12" s="600" t="s">
        <v>366</v>
      </c>
      <c r="GV12" s="601"/>
      <c r="GW12" s="602" t="s">
        <v>445</v>
      </c>
      <c r="GX12" s="607" t="s">
        <v>451</v>
      </c>
      <c r="GY12" s="608"/>
      <c r="GZ12" s="609" t="s">
        <v>447</v>
      </c>
      <c r="HA12" s="610" t="s">
        <v>452</v>
      </c>
      <c r="HB12" s="611"/>
      <c r="HC12" s="612"/>
      <c r="HD12" s="792"/>
      <c r="HE12" s="438"/>
      <c r="HF12" s="1451"/>
      <c r="HG12" s="1451"/>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549</v>
      </c>
      <c r="FS13" s="623"/>
      <c r="FT13" s="618"/>
      <c r="FU13" s="624" t="s">
        <v>518</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520</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519</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550</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550</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0"/>
      <c r="HE14" s="416"/>
      <c r="HF14" s="416"/>
      <c r="HG14" s="416"/>
    </row>
    <row r="15" spans="1:353" ht="24" customHeight="1">
      <c r="A15" s="529" t="s">
        <v>307</v>
      </c>
      <c r="B15" s="655" t="s">
        <v>288</v>
      </c>
      <c r="C15" s="656" t="s">
        <v>289</v>
      </c>
      <c r="D15" s="657" t="s">
        <v>545</v>
      </c>
      <c r="E15" s="657" t="s">
        <v>308</v>
      </c>
      <c r="F15" s="658" t="s">
        <v>108</v>
      </c>
      <c r="G15" s="659" t="s">
        <v>551</v>
      </c>
      <c r="H15" s="660" t="s">
        <v>525</v>
      </c>
      <c r="I15" s="661" t="s">
        <v>311</v>
      </c>
      <c r="J15" s="660" t="s">
        <v>552</v>
      </c>
      <c r="K15" s="661" t="s">
        <v>311</v>
      </c>
      <c r="L15" s="660" t="s">
        <v>524</v>
      </c>
      <c r="M15" s="661" t="s">
        <v>311</v>
      </c>
      <c r="N15" s="660" t="s">
        <v>525</v>
      </c>
      <c r="O15" s="661" t="s">
        <v>311</v>
      </c>
      <c r="P15" s="660" t="s">
        <v>525</v>
      </c>
      <c r="Q15" s="661" t="s">
        <v>311</v>
      </c>
      <c r="R15" s="660" t="s">
        <v>552</v>
      </c>
      <c r="S15" s="661" t="s">
        <v>311</v>
      </c>
      <c r="T15" s="660" t="s">
        <v>524</v>
      </c>
      <c r="U15" s="661" t="s">
        <v>311</v>
      </c>
      <c r="V15" s="660" t="s">
        <v>524</v>
      </c>
      <c r="W15" s="661" t="s">
        <v>311</v>
      </c>
      <c r="X15" s="660" t="s">
        <v>552</v>
      </c>
      <c r="Y15" s="661" t="s">
        <v>311</v>
      </c>
      <c r="Z15" s="660" t="s">
        <v>552</v>
      </c>
      <c r="AA15" s="661" t="s">
        <v>311</v>
      </c>
      <c r="AB15" s="660" t="s">
        <v>553</v>
      </c>
      <c r="AC15" s="661" t="s">
        <v>311</v>
      </c>
      <c r="AD15" s="660" t="s">
        <v>525</v>
      </c>
      <c r="AE15" s="661" t="s">
        <v>311</v>
      </c>
      <c r="AF15" s="660" t="s">
        <v>525</v>
      </c>
      <c r="AG15" s="661" t="s">
        <v>311</v>
      </c>
      <c r="AH15" s="660" t="s">
        <v>525</v>
      </c>
      <c r="AI15" s="661" t="s">
        <v>311</v>
      </c>
      <c r="AJ15" s="660" t="s">
        <v>552</v>
      </c>
      <c r="AK15" s="661" t="s">
        <v>311</v>
      </c>
      <c r="AL15" s="660" t="s">
        <v>524</v>
      </c>
      <c r="AM15" s="661" t="s">
        <v>311</v>
      </c>
      <c r="AN15" s="660" t="s">
        <v>552</v>
      </c>
      <c r="AO15" s="661" t="s">
        <v>311</v>
      </c>
      <c r="AP15" s="660" t="s">
        <v>525</v>
      </c>
      <c r="AQ15" s="661" t="s">
        <v>311</v>
      </c>
      <c r="AR15" s="660" t="s">
        <v>552</v>
      </c>
      <c r="AS15" s="661" t="s">
        <v>311</v>
      </c>
      <c r="AT15" s="660" t="s">
        <v>524</v>
      </c>
      <c r="AU15" s="661" t="s">
        <v>311</v>
      </c>
      <c r="AV15" s="660" t="s">
        <v>525</v>
      </c>
      <c r="AW15" s="661" t="s">
        <v>311</v>
      </c>
      <c r="AX15" s="660" t="s">
        <v>552</v>
      </c>
      <c r="AY15" s="661" t="s">
        <v>311</v>
      </c>
      <c r="AZ15" s="660" t="s">
        <v>552</v>
      </c>
      <c r="BA15" s="661" t="s">
        <v>311</v>
      </c>
      <c r="BB15" s="662" t="s">
        <v>314</v>
      </c>
      <c r="BC15" s="663"/>
      <c r="BD15" s="529" t="s">
        <v>307</v>
      </c>
      <c r="BE15" s="655" t="s">
        <v>288</v>
      </c>
      <c r="BF15" s="656" t="s">
        <v>289</v>
      </c>
      <c r="BG15" s="657" t="s">
        <v>521</v>
      </c>
      <c r="BH15" s="657" t="s">
        <v>308</v>
      </c>
      <c r="BI15" s="658" t="s">
        <v>108</v>
      </c>
      <c r="BJ15" s="659" t="s">
        <v>554</v>
      </c>
      <c r="BK15" s="660" t="s">
        <v>552</v>
      </c>
      <c r="BL15" s="661" t="s">
        <v>311</v>
      </c>
      <c r="BM15" s="660" t="s">
        <v>525</v>
      </c>
      <c r="BN15" s="661" t="s">
        <v>311</v>
      </c>
      <c r="BO15" s="660" t="s">
        <v>552</v>
      </c>
      <c r="BP15" s="661" t="s">
        <v>311</v>
      </c>
      <c r="BQ15" s="660" t="s">
        <v>524</v>
      </c>
      <c r="BR15" s="661" t="s">
        <v>311</v>
      </c>
      <c r="BS15" s="660" t="s">
        <v>524</v>
      </c>
      <c r="BT15" s="661" t="s">
        <v>311</v>
      </c>
      <c r="BU15" s="660" t="s">
        <v>525</v>
      </c>
      <c r="BV15" s="661" t="s">
        <v>311</v>
      </c>
      <c r="BW15" s="660" t="s">
        <v>552</v>
      </c>
      <c r="BX15" s="661" t="s">
        <v>311</v>
      </c>
      <c r="BY15" s="660" t="s">
        <v>525</v>
      </c>
      <c r="BZ15" s="661" t="s">
        <v>311</v>
      </c>
      <c r="CA15" s="660" t="s">
        <v>553</v>
      </c>
      <c r="CB15" s="661" t="s">
        <v>311</v>
      </c>
      <c r="CC15" s="660" t="s">
        <v>524</v>
      </c>
      <c r="CD15" s="661" t="s">
        <v>311</v>
      </c>
      <c r="CE15" s="660" t="s">
        <v>552</v>
      </c>
      <c r="CF15" s="661" t="s">
        <v>311</v>
      </c>
      <c r="CG15" s="660" t="s">
        <v>525</v>
      </c>
      <c r="CH15" s="661" t="s">
        <v>311</v>
      </c>
      <c r="CI15" s="660" t="s">
        <v>524</v>
      </c>
      <c r="CJ15" s="661" t="s">
        <v>311</v>
      </c>
      <c r="CK15" s="660" t="s">
        <v>552</v>
      </c>
      <c r="CL15" s="661" t="s">
        <v>311</v>
      </c>
      <c r="CM15" s="660" t="s">
        <v>525</v>
      </c>
      <c r="CN15" s="661" t="s">
        <v>311</v>
      </c>
      <c r="CO15" s="660" t="s">
        <v>524</v>
      </c>
      <c r="CP15" s="661" t="s">
        <v>311</v>
      </c>
      <c r="CQ15" s="660" t="s">
        <v>524</v>
      </c>
      <c r="CR15" s="661" t="s">
        <v>311</v>
      </c>
      <c r="CS15" s="660" t="s">
        <v>525</v>
      </c>
      <c r="CT15" s="661" t="s">
        <v>311</v>
      </c>
      <c r="CU15" s="660" t="s">
        <v>524</v>
      </c>
      <c r="CV15" s="661" t="s">
        <v>311</v>
      </c>
      <c r="CW15" s="660" t="s">
        <v>553</v>
      </c>
      <c r="CX15" s="661" t="s">
        <v>311</v>
      </c>
      <c r="CY15" s="660" t="s">
        <v>525</v>
      </c>
      <c r="CZ15" s="661" t="s">
        <v>311</v>
      </c>
      <c r="DA15" s="660" t="s">
        <v>552</v>
      </c>
      <c r="DB15" s="661" t="s">
        <v>311</v>
      </c>
      <c r="DC15" s="660" t="s">
        <v>552</v>
      </c>
      <c r="DD15" s="661" t="s">
        <v>311</v>
      </c>
      <c r="DE15" s="662" t="s">
        <v>314</v>
      </c>
      <c r="DF15" s="663"/>
      <c r="DG15" s="529" t="s">
        <v>307</v>
      </c>
      <c r="DH15" s="655" t="s">
        <v>288</v>
      </c>
      <c r="DI15" s="656" t="s">
        <v>289</v>
      </c>
      <c r="DJ15" s="657" t="s">
        <v>545</v>
      </c>
      <c r="DK15" s="657" t="s">
        <v>308</v>
      </c>
      <c r="DL15" s="658" t="s">
        <v>108</v>
      </c>
      <c r="DM15" s="659" t="s">
        <v>551</v>
      </c>
      <c r="DN15" s="660" t="s">
        <v>525</v>
      </c>
      <c r="DO15" s="661" t="s">
        <v>311</v>
      </c>
      <c r="DP15" s="660" t="s">
        <v>525</v>
      </c>
      <c r="DQ15" s="661" t="s">
        <v>311</v>
      </c>
      <c r="DR15" s="660" t="s">
        <v>552</v>
      </c>
      <c r="DS15" s="661" t="s">
        <v>311</v>
      </c>
      <c r="DT15" s="660" t="s">
        <v>524</v>
      </c>
      <c r="DU15" s="661" t="s">
        <v>311</v>
      </c>
      <c r="DV15" s="660" t="s">
        <v>552</v>
      </c>
      <c r="DW15" s="661" t="s">
        <v>311</v>
      </c>
      <c r="DX15" s="660" t="s">
        <v>552</v>
      </c>
      <c r="DY15" s="661" t="s">
        <v>311</v>
      </c>
      <c r="DZ15" s="660" t="s">
        <v>525</v>
      </c>
      <c r="EA15" s="661" t="s">
        <v>311</v>
      </c>
      <c r="EB15" s="660" t="s">
        <v>552</v>
      </c>
      <c r="EC15" s="661" t="s">
        <v>311</v>
      </c>
      <c r="ED15" s="660" t="s">
        <v>525</v>
      </c>
      <c r="EE15" s="661" t="s">
        <v>311</v>
      </c>
      <c r="EF15" s="660" t="s">
        <v>524</v>
      </c>
      <c r="EG15" s="661" t="s">
        <v>311</v>
      </c>
      <c r="EH15" s="660" t="s">
        <v>525</v>
      </c>
      <c r="EI15" s="661" t="s">
        <v>311</v>
      </c>
      <c r="EJ15" s="660" t="s">
        <v>524</v>
      </c>
      <c r="EK15" s="661" t="s">
        <v>311</v>
      </c>
      <c r="EL15" s="660" t="s">
        <v>552</v>
      </c>
      <c r="EM15" s="661" t="s">
        <v>311</v>
      </c>
      <c r="EN15" s="660" t="s">
        <v>525</v>
      </c>
      <c r="EO15" s="661" t="s">
        <v>311</v>
      </c>
      <c r="EP15" s="660" t="s">
        <v>525</v>
      </c>
      <c r="EQ15" s="661" t="s">
        <v>311</v>
      </c>
      <c r="ER15" s="660" t="s">
        <v>525</v>
      </c>
      <c r="ES15" s="661" t="s">
        <v>311</v>
      </c>
      <c r="ET15" s="660" t="s">
        <v>525</v>
      </c>
      <c r="EU15" s="661" t="s">
        <v>311</v>
      </c>
      <c r="EV15" s="660" t="s">
        <v>524</v>
      </c>
      <c r="EW15" s="661" t="s">
        <v>311</v>
      </c>
      <c r="EX15" s="660" t="s">
        <v>525</v>
      </c>
      <c r="EY15" s="661" t="s">
        <v>311</v>
      </c>
      <c r="EZ15" s="660" t="s">
        <v>552</v>
      </c>
      <c r="FA15" s="661" t="s">
        <v>311</v>
      </c>
      <c r="FB15" s="660" t="s">
        <v>525</v>
      </c>
      <c r="FC15" s="661" t="s">
        <v>311</v>
      </c>
      <c r="FD15" s="660" t="s">
        <v>525</v>
      </c>
      <c r="FE15" s="661" t="s">
        <v>311</v>
      </c>
      <c r="FF15" s="660" t="s">
        <v>525</v>
      </c>
      <c r="FG15" s="661" t="s">
        <v>311</v>
      </c>
      <c r="FH15" s="662" t="s">
        <v>314</v>
      </c>
      <c r="FI15" s="664"/>
      <c r="FJ15" s="539" t="s">
        <v>307</v>
      </c>
      <c r="FK15" s="655" t="s">
        <v>288</v>
      </c>
      <c r="FL15" s="656" t="s">
        <v>289</v>
      </c>
      <c r="FM15" s="657" t="s">
        <v>545</v>
      </c>
      <c r="FN15" s="657" t="s">
        <v>308</v>
      </c>
      <c r="FO15" s="658" t="s">
        <v>108</v>
      </c>
      <c r="FP15" s="665" t="s">
        <v>43</v>
      </c>
      <c r="FQ15" s="666" t="s">
        <v>311</v>
      </c>
      <c r="FR15" s="660" t="s">
        <v>314</v>
      </c>
      <c r="FS15" s="667" t="s">
        <v>43</v>
      </c>
      <c r="FT15" s="666" t="s">
        <v>311</v>
      </c>
      <c r="FU15" s="668" t="s">
        <v>314</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216</v>
      </c>
      <c r="C16" s="672" t="s">
        <v>69</v>
      </c>
      <c r="D16" s="552">
        <v>22.47</v>
      </c>
      <c r="E16" s="673">
        <v>0.6</v>
      </c>
      <c r="F16" s="674"/>
      <c r="G16" s="675">
        <v>0</v>
      </c>
      <c r="H16" s="556">
        <f>ROUND(22.47*0.6*0,0)</f>
        <v>0</v>
      </c>
      <c r="I16" s="676">
        <v>0</v>
      </c>
      <c r="J16" s="556">
        <f>ROUND(22.47*0.6*0,0)</f>
        <v>0</v>
      </c>
      <c r="K16" s="676">
        <v>0</v>
      </c>
      <c r="L16" s="556">
        <f>ROUND(22.47*0.6*0,0)</f>
        <v>0</v>
      </c>
      <c r="M16" s="676">
        <v>0</v>
      </c>
      <c r="N16" s="556">
        <f>ROUND(22.47*0.6*0,0)</f>
        <v>0</v>
      </c>
      <c r="O16" s="676">
        <v>0</v>
      </c>
      <c r="P16" s="556">
        <f>ROUND(22.47*0.6*0,0)</f>
        <v>0</v>
      </c>
      <c r="Q16" s="676">
        <v>0</v>
      </c>
      <c r="R16" s="556">
        <f>ROUND(22.47*0.6*0,0)</f>
        <v>0</v>
      </c>
      <c r="S16" s="676">
        <v>0</v>
      </c>
      <c r="T16" s="556">
        <f>ROUND(22.47*0.6*0,0)</f>
        <v>0</v>
      </c>
      <c r="U16" s="676">
        <v>0</v>
      </c>
      <c r="V16" s="556">
        <f>ROUND(22.47*0.6*0,0)</f>
        <v>0</v>
      </c>
      <c r="W16" s="676">
        <v>10.5</v>
      </c>
      <c r="X16" s="556">
        <f>ROUND(22.47*0.6*10.5,0)</f>
        <v>142</v>
      </c>
      <c r="Y16" s="676">
        <v>13.2</v>
      </c>
      <c r="Z16" s="556">
        <f>ROUND(22.47*0.6*13.2,0)</f>
        <v>178</v>
      </c>
      <c r="AA16" s="676">
        <v>15</v>
      </c>
      <c r="AB16" s="556">
        <f>ROUND(22.47*0.6*15,0)</f>
        <v>202</v>
      </c>
      <c r="AC16" s="676">
        <v>15.5</v>
      </c>
      <c r="AD16" s="556">
        <f>ROUND(22.47*0.6*15.5,0)</f>
        <v>209</v>
      </c>
      <c r="AE16" s="676">
        <v>14.9</v>
      </c>
      <c r="AF16" s="556">
        <f>ROUND(22.47*0.6*14.9,0)</f>
        <v>201</v>
      </c>
      <c r="AG16" s="676">
        <v>14.2</v>
      </c>
      <c r="AH16" s="556">
        <f>ROUND(22.47*0.6*14.2,0)</f>
        <v>191</v>
      </c>
      <c r="AI16" s="676">
        <v>13.5</v>
      </c>
      <c r="AJ16" s="556">
        <f>ROUND(22.47*0.6*13.5,0)</f>
        <v>182</v>
      </c>
      <c r="AK16" s="676">
        <v>12.7</v>
      </c>
      <c r="AL16" s="556">
        <f>ROUND(22.47*0.6*12.7,0)</f>
        <v>171</v>
      </c>
      <c r="AM16" s="676">
        <v>11.6</v>
      </c>
      <c r="AN16" s="556">
        <f>ROUND(22.47*0.6*11.6,0)</f>
        <v>156</v>
      </c>
      <c r="AO16" s="676">
        <v>10.199999999999999</v>
      </c>
      <c r="AP16" s="556">
        <f>ROUND(22.47*0.6*10.2,0)</f>
        <v>138</v>
      </c>
      <c r="AQ16" s="676">
        <v>0</v>
      </c>
      <c r="AR16" s="556">
        <f>ROUND(22.47*0.6*0,0)</f>
        <v>0</v>
      </c>
      <c r="AS16" s="676">
        <v>0</v>
      </c>
      <c r="AT16" s="556">
        <f>ROUND(22.47*0.6*0,0)</f>
        <v>0</v>
      </c>
      <c r="AU16" s="676">
        <v>0</v>
      </c>
      <c r="AV16" s="556">
        <f>ROUND(22.47*0.6*0,0)</f>
        <v>0</v>
      </c>
      <c r="AW16" s="676">
        <v>0</v>
      </c>
      <c r="AX16" s="556">
        <f>ROUND(22.47*0.6*0,0)</f>
        <v>0</v>
      </c>
      <c r="AY16" s="676">
        <v>0</v>
      </c>
      <c r="AZ16" s="556">
        <f>ROUND(22.47*0.6*0,0)</f>
        <v>0</v>
      </c>
      <c r="BA16" s="676">
        <v>0</v>
      </c>
      <c r="BB16" s="677">
        <f>ROUND(22.47*0.6*0,0)</f>
        <v>0</v>
      </c>
      <c r="BC16" s="559"/>
      <c r="BD16" s="549"/>
      <c r="BE16" s="551" t="s">
        <v>216</v>
      </c>
      <c r="BF16" s="672" t="s">
        <v>69</v>
      </c>
      <c r="BG16" s="552">
        <v>22.47</v>
      </c>
      <c r="BH16" s="673">
        <v>0.6</v>
      </c>
      <c r="BI16" s="674"/>
      <c r="BJ16" s="675">
        <v>0</v>
      </c>
      <c r="BK16" s="556">
        <f>ROUND(22.47*0.6*0,0)</f>
        <v>0</v>
      </c>
      <c r="BL16" s="676">
        <v>0</v>
      </c>
      <c r="BM16" s="556">
        <f>ROUND(22.47*0.6*0,0)</f>
        <v>0</v>
      </c>
      <c r="BN16" s="676">
        <v>0</v>
      </c>
      <c r="BO16" s="556">
        <f>ROUND(22.47*0.6*0,0)</f>
        <v>0</v>
      </c>
      <c r="BP16" s="676">
        <v>0</v>
      </c>
      <c r="BQ16" s="556">
        <f>ROUND(22.47*0.6*0,0)</f>
        <v>0</v>
      </c>
      <c r="BR16" s="676">
        <v>0</v>
      </c>
      <c r="BS16" s="556">
        <f>ROUND(22.47*0.6*0,0)</f>
        <v>0</v>
      </c>
      <c r="BT16" s="676">
        <v>0</v>
      </c>
      <c r="BU16" s="556">
        <f>ROUND(22.47*0.6*0,0)</f>
        <v>0</v>
      </c>
      <c r="BV16" s="676">
        <v>0</v>
      </c>
      <c r="BW16" s="556">
        <f>ROUND(22.47*0.6*0,0)</f>
        <v>0</v>
      </c>
      <c r="BX16" s="676">
        <v>0</v>
      </c>
      <c r="BY16" s="556">
        <f>ROUND(22.47*0.6*0,0)</f>
        <v>0</v>
      </c>
      <c r="BZ16" s="676">
        <v>15.6</v>
      </c>
      <c r="CA16" s="556">
        <f>ROUND(22.47*0.6*15.6,0)</f>
        <v>210</v>
      </c>
      <c r="CB16" s="676">
        <v>18.5</v>
      </c>
      <c r="CC16" s="556">
        <f>ROUND(22.47*0.6*18.5,0)</f>
        <v>249</v>
      </c>
      <c r="CD16" s="676">
        <v>19.5</v>
      </c>
      <c r="CE16" s="556">
        <f>ROUND(22.47*0.6*19.5,0)</f>
        <v>263</v>
      </c>
      <c r="CF16" s="676">
        <v>18.8</v>
      </c>
      <c r="CG16" s="556">
        <f>ROUND(22.47*0.6*18.8,0)</f>
        <v>253</v>
      </c>
      <c r="CH16" s="676">
        <v>16.8</v>
      </c>
      <c r="CI16" s="556">
        <f>ROUND(22.47*0.6*16.8,0)</f>
        <v>226</v>
      </c>
      <c r="CJ16" s="676">
        <v>14.9</v>
      </c>
      <c r="CK16" s="556">
        <f>ROUND(22.47*0.6*14.9,0)</f>
        <v>201</v>
      </c>
      <c r="CL16" s="676">
        <v>13.6</v>
      </c>
      <c r="CM16" s="556">
        <f>ROUND(22.47*0.6*13.6,0)</f>
        <v>183</v>
      </c>
      <c r="CN16" s="676">
        <v>12.4</v>
      </c>
      <c r="CO16" s="556">
        <f>ROUND(22.47*0.6*12.4,0)</f>
        <v>167</v>
      </c>
      <c r="CP16" s="676">
        <v>11.2</v>
      </c>
      <c r="CQ16" s="556">
        <f>ROUND(22.47*0.6*11.2,0)</f>
        <v>151</v>
      </c>
      <c r="CR16" s="676">
        <v>9.9</v>
      </c>
      <c r="CS16" s="556">
        <f>ROUND(22.47*0.6*9.9,0)</f>
        <v>133</v>
      </c>
      <c r="CT16" s="676">
        <v>0</v>
      </c>
      <c r="CU16" s="556">
        <f>ROUND(22.47*0.6*0,0)</f>
        <v>0</v>
      </c>
      <c r="CV16" s="676">
        <v>0</v>
      </c>
      <c r="CW16" s="556">
        <f>ROUND(22.47*0.6*0,0)</f>
        <v>0</v>
      </c>
      <c r="CX16" s="676">
        <v>0</v>
      </c>
      <c r="CY16" s="556">
        <f>ROUND(22.47*0.6*0,0)</f>
        <v>0</v>
      </c>
      <c r="CZ16" s="676">
        <v>0</v>
      </c>
      <c r="DA16" s="556">
        <f>ROUND(22.47*0.6*0,0)</f>
        <v>0</v>
      </c>
      <c r="DB16" s="676">
        <v>0</v>
      </c>
      <c r="DC16" s="556">
        <f>ROUND(22.47*0.6*0,0)</f>
        <v>0</v>
      </c>
      <c r="DD16" s="676">
        <v>0</v>
      </c>
      <c r="DE16" s="677">
        <f>ROUND(22.47*0.6*0,0)</f>
        <v>0</v>
      </c>
      <c r="DF16" s="559"/>
      <c r="DG16" s="549"/>
      <c r="DH16" s="551" t="s">
        <v>216</v>
      </c>
      <c r="DI16" s="672" t="s">
        <v>69</v>
      </c>
      <c r="DJ16" s="552">
        <v>22.47</v>
      </c>
      <c r="DK16" s="673">
        <v>0.6</v>
      </c>
      <c r="DL16" s="674"/>
      <c r="DM16" s="675">
        <v>0</v>
      </c>
      <c r="DN16" s="556">
        <f>ROUND(22.47*0.6*0,0)</f>
        <v>0</v>
      </c>
      <c r="DO16" s="676">
        <v>0</v>
      </c>
      <c r="DP16" s="556">
        <f>ROUND(22.47*0.6*0,0)</f>
        <v>0</v>
      </c>
      <c r="DQ16" s="676">
        <v>0</v>
      </c>
      <c r="DR16" s="556">
        <f>ROUND(22.47*0.6*0,0)</f>
        <v>0</v>
      </c>
      <c r="DS16" s="676">
        <v>0</v>
      </c>
      <c r="DT16" s="556">
        <f>ROUND(22.47*0.6*0,0)</f>
        <v>0</v>
      </c>
      <c r="DU16" s="676">
        <v>0</v>
      </c>
      <c r="DV16" s="556">
        <f>ROUND(22.47*0.6*0,0)</f>
        <v>0</v>
      </c>
      <c r="DW16" s="676">
        <v>0</v>
      </c>
      <c r="DX16" s="556">
        <f>ROUND(22.47*0.6*0,0)</f>
        <v>0</v>
      </c>
      <c r="DY16" s="676">
        <v>0</v>
      </c>
      <c r="DZ16" s="556">
        <f>ROUND(22.47*0.6*0,0)</f>
        <v>0</v>
      </c>
      <c r="EA16" s="676">
        <v>0</v>
      </c>
      <c r="EB16" s="556">
        <f>ROUND(22.47*0.6*0,0)</f>
        <v>0</v>
      </c>
      <c r="EC16" s="676">
        <v>13.4</v>
      </c>
      <c r="ED16" s="556">
        <f>ROUND(22.47*0.6*13.4,0)</f>
        <v>181</v>
      </c>
      <c r="EE16" s="676">
        <v>16.600000000000001</v>
      </c>
      <c r="EF16" s="556">
        <f>ROUND(22.47*0.6*16.6,0)</f>
        <v>224</v>
      </c>
      <c r="EG16" s="676">
        <v>18</v>
      </c>
      <c r="EH16" s="556">
        <f>ROUND(22.47*0.6*18,0)</f>
        <v>243</v>
      </c>
      <c r="EI16" s="676">
        <v>17.399999999999999</v>
      </c>
      <c r="EJ16" s="556">
        <f>ROUND(22.47*0.6*17.4,0)</f>
        <v>235</v>
      </c>
      <c r="EK16" s="676">
        <v>15.3</v>
      </c>
      <c r="EL16" s="556">
        <f>ROUND(22.47*0.6*15.3,0)</f>
        <v>206</v>
      </c>
      <c r="EM16" s="676">
        <v>13.2</v>
      </c>
      <c r="EN16" s="556">
        <f>ROUND(22.47*0.6*13.2,0)</f>
        <v>178</v>
      </c>
      <c r="EO16" s="676">
        <v>11.6</v>
      </c>
      <c r="EP16" s="556">
        <f>ROUND(22.47*0.6*11.6,0)</f>
        <v>156</v>
      </c>
      <c r="EQ16" s="676">
        <v>10.199999999999999</v>
      </c>
      <c r="ER16" s="556">
        <f>ROUND(22.47*0.6*10.2,0)</f>
        <v>138</v>
      </c>
      <c r="ES16" s="676">
        <v>8.8000000000000007</v>
      </c>
      <c r="ET16" s="556">
        <f>ROUND(22.47*0.6*8.8,0)</f>
        <v>119</v>
      </c>
      <c r="EU16" s="676">
        <v>7.2</v>
      </c>
      <c r="EV16" s="556">
        <f>ROUND(22.47*0.6*7.2,0)</f>
        <v>97</v>
      </c>
      <c r="EW16" s="676">
        <v>0</v>
      </c>
      <c r="EX16" s="556">
        <f>ROUND(22.47*0.6*0,0)</f>
        <v>0</v>
      </c>
      <c r="EY16" s="676">
        <v>0</v>
      </c>
      <c r="EZ16" s="556">
        <f>ROUND(22.47*0.6*0,0)</f>
        <v>0</v>
      </c>
      <c r="FA16" s="676">
        <v>0</v>
      </c>
      <c r="FB16" s="556">
        <f>ROUND(22.47*0.6*0,0)</f>
        <v>0</v>
      </c>
      <c r="FC16" s="676">
        <v>0</v>
      </c>
      <c r="FD16" s="556">
        <f>ROUND(22.47*0.6*0,0)</f>
        <v>0</v>
      </c>
      <c r="FE16" s="676">
        <v>0</v>
      </c>
      <c r="FF16" s="556">
        <f>ROUND(22.47*0.6*0,0)</f>
        <v>0</v>
      </c>
      <c r="FG16" s="676">
        <v>0</v>
      </c>
      <c r="FH16" s="677">
        <f>ROUND(22.47*0.6*0,0)</f>
        <v>0</v>
      </c>
      <c r="FI16" s="560"/>
      <c r="FJ16" s="561"/>
      <c r="FK16" s="551" t="s">
        <v>216</v>
      </c>
      <c r="FL16" s="672" t="s">
        <v>69</v>
      </c>
      <c r="FM16" s="552">
        <v>22.47</v>
      </c>
      <c r="FN16" s="673">
        <v>0.6</v>
      </c>
      <c r="FO16" s="674"/>
      <c r="FP16" s="678">
        <v>9</v>
      </c>
      <c r="FQ16" s="679">
        <v>20</v>
      </c>
      <c r="FR16" s="556">
        <f>ROUND(22.47*0.6*20,0)</f>
        <v>270</v>
      </c>
      <c r="FS16" s="680">
        <v>9</v>
      </c>
      <c r="FT16" s="679">
        <v>20.5</v>
      </c>
      <c r="FU16" s="564">
        <f>ROUND(22.47*0.6*20.5,0)</f>
        <v>276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247</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1.6</v>
      </c>
      <c r="X17" s="584">
        <f>ROUND(8.96*2.5*1.6,0)</f>
        <v>36</v>
      </c>
      <c r="Y17" s="688">
        <v>2</v>
      </c>
      <c r="Z17" s="584">
        <f>ROUND(8.96*2.5*2,0)</f>
        <v>45</v>
      </c>
      <c r="AA17" s="688">
        <v>2.2000000000000002</v>
      </c>
      <c r="AB17" s="584">
        <f>ROUND(8.96*2.5*2.2,0)</f>
        <v>49</v>
      </c>
      <c r="AC17" s="688">
        <v>2.2999999999999998</v>
      </c>
      <c r="AD17" s="584">
        <f>ROUND(8.96*2.5*2.3,0)</f>
        <v>52</v>
      </c>
      <c r="AE17" s="688">
        <v>2.4</v>
      </c>
      <c r="AF17" s="584">
        <f>ROUND(8.96*2.5*2.4,0)</f>
        <v>54</v>
      </c>
      <c r="AG17" s="688">
        <v>2.4</v>
      </c>
      <c r="AH17" s="584">
        <f>ROUND(8.96*2.5*2.4,0)</f>
        <v>54</v>
      </c>
      <c r="AI17" s="688">
        <v>2.2000000000000002</v>
      </c>
      <c r="AJ17" s="584">
        <f>ROUND(8.96*2.5*2.2,0)</f>
        <v>49</v>
      </c>
      <c r="AK17" s="688">
        <v>2.1</v>
      </c>
      <c r="AL17" s="584">
        <f>ROUND(8.96*2.5*2.1,0)</f>
        <v>47</v>
      </c>
      <c r="AM17" s="688">
        <v>1.8</v>
      </c>
      <c r="AN17" s="584">
        <f>ROUND(8.96*2.5*1.8,0)</f>
        <v>40</v>
      </c>
      <c r="AO17" s="688">
        <v>1.6</v>
      </c>
      <c r="AP17" s="584">
        <f>ROUND(8.96*2.5*1.6,0)</f>
        <v>36</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247</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1.5</v>
      </c>
      <c r="CA17" s="584">
        <f>ROUND(8.96*2.5*1.5,0)</f>
        <v>34</v>
      </c>
      <c r="CB17" s="688">
        <v>1.8</v>
      </c>
      <c r="CC17" s="584">
        <f>ROUND(8.96*2.5*1.8,0)</f>
        <v>40</v>
      </c>
      <c r="CD17" s="688">
        <v>2.1</v>
      </c>
      <c r="CE17" s="584">
        <f>ROUND(8.96*2.5*2.1,0)</f>
        <v>47</v>
      </c>
      <c r="CF17" s="688">
        <v>2.2000000000000002</v>
      </c>
      <c r="CG17" s="584">
        <f>ROUND(8.96*2.5*2.2,0)</f>
        <v>49</v>
      </c>
      <c r="CH17" s="688">
        <v>2.2999999999999998</v>
      </c>
      <c r="CI17" s="584">
        <f>ROUND(8.96*2.5*2.3,0)</f>
        <v>52</v>
      </c>
      <c r="CJ17" s="688">
        <v>2.2000000000000002</v>
      </c>
      <c r="CK17" s="584">
        <f>ROUND(8.96*2.5*2.2,0)</f>
        <v>49</v>
      </c>
      <c r="CL17" s="688">
        <v>2.1</v>
      </c>
      <c r="CM17" s="584">
        <f>ROUND(8.96*2.5*2.1,0)</f>
        <v>47</v>
      </c>
      <c r="CN17" s="688">
        <v>2</v>
      </c>
      <c r="CO17" s="584">
        <f>ROUND(8.96*2.5*2,0)</f>
        <v>45</v>
      </c>
      <c r="CP17" s="688">
        <v>1.8</v>
      </c>
      <c r="CQ17" s="584">
        <f>ROUND(8.96*2.5*1.8,0)</f>
        <v>40</v>
      </c>
      <c r="CR17" s="688">
        <v>1.5</v>
      </c>
      <c r="CS17" s="584">
        <f>ROUND(8.96*2.5*1.5,0)</f>
        <v>34</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247</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0.8</v>
      </c>
      <c r="ED17" s="584">
        <f>ROUND(8.96*2.5*0.8,0)</f>
        <v>18</v>
      </c>
      <c r="EE17" s="688">
        <v>1.2</v>
      </c>
      <c r="EF17" s="584">
        <f>ROUND(8.96*2.5*1.2,0)</f>
        <v>27</v>
      </c>
      <c r="EG17" s="688">
        <v>1.5</v>
      </c>
      <c r="EH17" s="584">
        <f>ROUND(8.96*2.5*1.5,0)</f>
        <v>34</v>
      </c>
      <c r="EI17" s="688">
        <v>1.7</v>
      </c>
      <c r="EJ17" s="584">
        <f>ROUND(8.96*2.5*1.7,0)</f>
        <v>38</v>
      </c>
      <c r="EK17" s="688">
        <v>1.7</v>
      </c>
      <c r="EL17" s="584">
        <f>ROUND(8.96*2.5*1.7,0)</f>
        <v>38</v>
      </c>
      <c r="EM17" s="688">
        <v>1.6</v>
      </c>
      <c r="EN17" s="584">
        <f>ROUND(8.96*2.5*1.6,0)</f>
        <v>36</v>
      </c>
      <c r="EO17" s="688">
        <v>1.5</v>
      </c>
      <c r="EP17" s="584">
        <f>ROUND(8.96*2.5*1.5,0)</f>
        <v>34</v>
      </c>
      <c r="EQ17" s="688">
        <v>1.4</v>
      </c>
      <c r="ER17" s="584">
        <f>ROUND(8.96*2.5*1.4,0)</f>
        <v>31</v>
      </c>
      <c r="ES17" s="688">
        <v>1.1000000000000001</v>
      </c>
      <c r="ET17" s="584">
        <f>ROUND(8.96*2.5*1.1,0)</f>
        <v>25</v>
      </c>
      <c r="EU17" s="688">
        <v>0.8</v>
      </c>
      <c r="EV17" s="584">
        <f>ROUND(8.96*2.5*0.8,0)</f>
        <v>18</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247</v>
      </c>
      <c r="FL17" s="684"/>
      <c r="FM17" s="580">
        <v>8.9600000000000009</v>
      </c>
      <c r="FN17" s="685">
        <v>2.5</v>
      </c>
      <c r="FO17" s="686"/>
      <c r="FP17" s="689">
        <v>9</v>
      </c>
      <c r="FQ17" s="690">
        <v>6</v>
      </c>
      <c r="FR17" s="584">
        <f>ROUND(8.96*2.5*6,0)</f>
        <v>134</v>
      </c>
      <c r="FS17" s="691">
        <v>9</v>
      </c>
      <c r="FT17" s="690">
        <v>6.1</v>
      </c>
      <c r="FU17" s="589">
        <f>ROUND(8.96*2.5*6.1,0)</f>
        <v>137</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247</v>
      </c>
      <c r="C18" s="684"/>
      <c r="D18" s="580">
        <v>8.9600000000000009</v>
      </c>
      <c r="E18" s="685">
        <v>2.5</v>
      </c>
      <c r="F18" s="686"/>
      <c r="G18" s="687">
        <v>0</v>
      </c>
      <c r="H18" s="584">
        <f>ROUND(8.96*2.5*0,0)</f>
        <v>0</v>
      </c>
      <c r="I18" s="688">
        <v>0</v>
      </c>
      <c r="J18" s="584">
        <f>ROUND(8.96*2.5*0,0)</f>
        <v>0</v>
      </c>
      <c r="K18" s="688">
        <v>0</v>
      </c>
      <c r="L18" s="584">
        <f>ROUND(8.96*2.5*0,0)</f>
        <v>0</v>
      </c>
      <c r="M18" s="688">
        <v>0</v>
      </c>
      <c r="N18" s="584">
        <f>ROUND(8.96*2.5*0,0)</f>
        <v>0</v>
      </c>
      <c r="O18" s="688">
        <v>0</v>
      </c>
      <c r="P18" s="584">
        <f>ROUND(8.96*2.5*0,0)</f>
        <v>0</v>
      </c>
      <c r="Q18" s="688">
        <v>0</v>
      </c>
      <c r="R18" s="584">
        <f>ROUND(8.96*2.5*0,0)</f>
        <v>0</v>
      </c>
      <c r="S18" s="688">
        <v>0</v>
      </c>
      <c r="T18" s="584">
        <f>ROUND(8.96*2.5*0,0)</f>
        <v>0</v>
      </c>
      <c r="U18" s="688">
        <v>0</v>
      </c>
      <c r="V18" s="584">
        <f>ROUND(8.96*2.5*0,0)</f>
        <v>0</v>
      </c>
      <c r="W18" s="688">
        <v>2.1</v>
      </c>
      <c r="X18" s="584">
        <f>ROUND(8.96*2.5*2.1,0)</f>
        <v>47</v>
      </c>
      <c r="Y18" s="688">
        <v>2.6</v>
      </c>
      <c r="Z18" s="584">
        <f>ROUND(8.96*2.5*2.6,0)</f>
        <v>58</v>
      </c>
      <c r="AA18" s="688">
        <v>2.9</v>
      </c>
      <c r="AB18" s="584">
        <f>ROUND(8.96*2.5*2.9,0)</f>
        <v>65</v>
      </c>
      <c r="AC18" s="688">
        <v>3.1</v>
      </c>
      <c r="AD18" s="584">
        <f>ROUND(8.96*2.5*3.1,0)</f>
        <v>69</v>
      </c>
      <c r="AE18" s="688">
        <v>3.2</v>
      </c>
      <c r="AF18" s="584">
        <f>ROUND(8.96*2.5*3.2,0)</f>
        <v>72</v>
      </c>
      <c r="AG18" s="688">
        <v>3.2</v>
      </c>
      <c r="AH18" s="584">
        <f>ROUND(8.96*2.5*3.2,0)</f>
        <v>72</v>
      </c>
      <c r="AI18" s="688">
        <v>3</v>
      </c>
      <c r="AJ18" s="584">
        <f>ROUND(8.96*2.5*3,0)</f>
        <v>67</v>
      </c>
      <c r="AK18" s="688">
        <v>2.8</v>
      </c>
      <c r="AL18" s="584">
        <f>ROUND(8.96*2.5*2.8,0)</f>
        <v>63</v>
      </c>
      <c r="AM18" s="688">
        <v>2.4</v>
      </c>
      <c r="AN18" s="584">
        <f>ROUND(8.96*2.5*2.4,0)</f>
        <v>54</v>
      </c>
      <c r="AO18" s="688">
        <v>2.1</v>
      </c>
      <c r="AP18" s="584">
        <f>ROUND(8.96*2.5*2.1,0)</f>
        <v>47</v>
      </c>
      <c r="AQ18" s="688">
        <v>0</v>
      </c>
      <c r="AR18" s="584">
        <f>ROUND(8.96*2.5*0,0)</f>
        <v>0</v>
      </c>
      <c r="AS18" s="688">
        <v>0</v>
      </c>
      <c r="AT18" s="584">
        <f>ROUND(8.96*2.5*0,0)</f>
        <v>0</v>
      </c>
      <c r="AU18" s="688">
        <v>0</v>
      </c>
      <c r="AV18" s="584">
        <f>ROUND(8.96*2.5*0,0)</f>
        <v>0</v>
      </c>
      <c r="AW18" s="688">
        <v>0</v>
      </c>
      <c r="AX18" s="584">
        <f>ROUND(8.96*2.5*0,0)</f>
        <v>0</v>
      </c>
      <c r="AY18" s="688">
        <v>0</v>
      </c>
      <c r="AZ18" s="584">
        <f>ROUND(8.96*2.5*0,0)</f>
        <v>0</v>
      </c>
      <c r="BA18" s="688">
        <v>0</v>
      </c>
      <c r="BB18" s="586">
        <f>ROUND(8.96*2.5*0,0)</f>
        <v>0</v>
      </c>
      <c r="BC18" s="559"/>
      <c r="BD18" s="549"/>
      <c r="BE18" s="693" t="s">
        <v>247</v>
      </c>
      <c r="BF18" s="684"/>
      <c r="BG18" s="580">
        <v>8.9600000000000009</v>
      </c>
      <c r="BH18" s="685">
        <v>2.5</v>
      </c>
      <c r="BI18" s="686"/>
      <c r="BJ18" s="687">
        <v>0</v>
      </c>
      <c r="BK18" s="584">
        <f>ROUND(8.96*2.5*0,0)</f>
        <v>0</v>
      </c>
      <c r="BL18" s="688">
        <v>0</v>
      </c>
      <c r="BM18" s="584">
        <f>ROUND(8.96*2.5*0,0)</f>
        <v>0</v>
      </c>
      <c r="BN18" s="688">
        <v>0</v>
      </c>
      <c r="BO18" s="584">
        <f>ROUND(8.96*2.5*0,0)</f>
        <v>0</v>
      </c>
      <c r="BP18" s="688">
        <v>0</v>
      </c>
      <c r="BQ18" s="584">
        <f>ROUND(8.96*2.5*0,0)</f>
        <v>0</v>
      </c>
      <c r="BR18" s="688">
        <v>0</v>
      </c>
      <c r="BS18" s="584">
        <f>ROUND(8.96*2.5*0,0)</f>
        <v>0</v>
      </c>
      <c r="BT18" s="688">
        <v>0</v>
      </c>
      <c r="BU18" s="584">
        <f>ROUND(8.96*2.5*0,0)</f>
        <v>0</v>
      </c>
      <c r="BV18" s="688">
        <v>0</v>
      </c>
      <c r="BW18" s="584">
        <f>ROUND(8.96*2.5*0,0)</f>
        <v>0</v>
      </c>
      <c r="BX18" s="688">
        <v>0</v>
      </c>
      <c r="BY18" s="584">
        <f>ROUND(8.96*2.5*0,0)</f>
        <v>0</v>
      </c>
      <c r="BZ18" s="688">
        <v>2</v>
      </c>
      <c r="CA18" s="584">
        <f>ROUND(8.96*2.5*2,0)</f>
        <v>45</v>
      </c>
      <c r="CB18" s="688">
        <v>2.4</v>
      </c>
      <c r="CC18" s="584">
        <f>ROUND(8.96*2.5*2.4,0)</f>
        <v>54</v>
      </c>
      <c r="CD18" s="688">
        <v>2.8</v>
      </c>
      <c r="CE18" s="584">
        <f>ROUND(8.96*2.5*2.8,0)</f>
        <v>63</v>
      </c>
      <c r="CF18" s="688">
        <v>3</v>
      </c>
      <c r="CG18" s="584">
        <f>ROUND(8.96*2.5*3,0)</f>
        <v>67</v>
      </c>
      <c r="CH18" s="688">
        <v>3</v>
      </c>
      <c r="CI18" s="584">
        <f>ROUND(8.96*2.5*3,0)</f>
        <v>67</v>
      </c>
      <c r="CJ18" s="688">
        <v>3</v>
      </c>
      <c r="CK18" s="584">
        <f>ROUND(8.96*2.5*3,0)</f>
        <v>67</v>
      </c>
      <c r="CL18" s="688">
        <v>2.8</v>
      </c>
      <c r="CM18" s="584">
        <f>ROUND(8.96*2.5*2.8,0)</f>
        <v>63</v>
      </c>
      <c r="CN18" s="688">
        <v>2.6</v>
      </c>
      <c r="CO18" s="584">
        <f>ROUND(8.96*2.5*2.6,0)</f>
        <v>58</v>
      </c>
      <c r="CP18" s="688">
        <v>2.4</v>
      </c>
      <c r="CQ18" s="584">
        <f>ROUND(8.96*2.5*2.4,0)</f>
        <v>54</v>
      </c>
      <c r="CR18" s="688">
        <v>2</v>
      </c>
      <c r="CS18" s="584">
        <f>ROUND(8.96*2.5*2,0)</f>
        <v>45</v>
      </c>
      <c r="CT18" s="688">
        <v>0</v>
      </c>
      <c r="CU18" s="584">
        <f>ROUND(8.96*2.5*0,0)</f>
        <v>0</v>
      </c>
      <c r="CV18" s="688">
        <v>0</v>
      </c>
      <c r="CW18" s="584">
        <f>ROUND(8.96*2.5*0,0)</f>
        <v>0</v>
      </c>
      <c r="CX18" s="688">
        <v>0</v>
      </c>
      <c r="CY18" s="584">
        <f>ROUND(8.96*2.5*0,0)</f>
        <v>0</v>
      </c>
      <c r="CZ18" s="688">
        <v>0</v>
      </c>
      <c r="DA18" s="584">
        <f>ROUND(8.96*2.5*0,0)</f>
        <v>0</v>
      </c>
      <c r="DB18" s="688">
        <v>0</v>
      </c>
      <c r="DC18" s="584">
        <f>ROUND(8.96*2.5*0,0)</f>
        <v>0</v>
      </c>
      <c r="DD18" s="688">
        <v>0</v>
      </c>
      <c r="DE18" s="586">
        <f>ROUND(8.96*2.5*0,0)</f>
        <v>0</v>
      </c>
      <c r="DF18" s="559"/>
      <c r="DG18" s="549"/>
      <c r="DH18" s="693" t="s">
        <v>247</v>
      </c>
      <c r="DI18" s="684"/>
      <c r="DJ18" s="580">
        <v>8.9600000000000009</v>
      </c>
      <c r="DK18" s="685">
        <v>2.5</v>
      </c>
      <c r="DL18" s="686"/>
      <c r="DM18" s="687">
        <v>0</v>
      </c>
      <c r="DN18" s="584">
        <f>ROUND(8.96*2.5*0,0)</f>
        <v>0</v>
      </c>
      <c r="DO18" s="688">
        <v>0</v>
      </c>
      <c r="DP18" s="584">
        <f>ROUND(8.96*2.5*0,0)</f>
        <v>0</v>
      </c>
      <c r="DQ18" s="688">
        <v>0</v>
      </c>
      <c r="DR18" s="584">
        <f>ROUND(8.96*2.5*0,0)</f>
        <v>0</v>
      </c>
      <c r="DS18" s="688">
        <v>0</v>
      </c>
      <c r="DT18" s="584">
        <f>ROUND(8.96*2.5*0,0)</f>
        <v>0</v>
      </c>
      <c r="DU18" s="688">
        <v>0</v>
      </c>
      <c r="DV18" s="584">
        <f>ROUND(8.96*2.5*0,0)</f>
        <v>0</v>
      </c>
      <c r="DW18" s="688">
        <v>0</v>
      </c>
      <c r="DX18" s="584">
        <f>ROUND(8.96*2.5*0,0)</f>
        <v>0</v>
      </c>
      <c r="DY18" s="688">
        <v>0</v>
      </c>
      <c r="DZ18" s="584">
        <f>ROUND(8.96*2.5*0,0)</f>
        <v>0</v>
      </c>
      <c r="EA18" s="688">
        <v>0</v>
      </c>
      <c r="EB18" s="584">
        <f>ROUND(8.96*2.5*0,0)</f>
        <v>0</v>
      </c>
      <c r="EC18" s="688">
        <v>1.1000000000000001</v>
      </c>
      <c r="ED18" s="584">
        <f>ROUND(8.96*2.5*1.1,0)</f>
        <v>25</v>
      </c>
      <c r="EE18" s="688">
        <v>1.6</v>
      </c>
      <c r="EF18" s="584">
        <f>ROUND(8.96*2.5*1.6,0)</f>
        <v>36</v>
      </c>
      <c r="EG18" s="688">
        <v>2</v>
      </c>
      <c r="EH18" s="584">
        <f>ROUND(8.96*2.5*2,0)</f>
        <v>45</v>
      </c>
      <c r="EI18" s="688">
        <v>2.2000000000000002</v>
      </c>
      <c r="EJ18" s="584">
        <f>ROUND(8.96*2.5*2.2,0)</f>
        <v>49</v>
      </c>
      <c r="EK18" s="688">
        <v>2.2999999999999998</v>
      </c>
      <c r="EL18" s="584">
        <f>ROUND(8.96*2.5*2.3,0)</f>
        <v>52</v>
      </c>
      <c r="EM18" s="688">
        <v>2.2000000000000002</v>
      </c>
      <c r="EN18" s="584">
        <f>ROUND(8.96*2.5*2.2,0)</f>
        <v>49</v>
      </c>
      <c r="EO18" s="688">
        <v>2</v>
      </c>
      <c r="EP18" s="584">
        <f>ROUND(8.96*2.5*2,0)</f>
        <v>45</v>
      </c>
      <c r="EQ18" s="688">
        <v>1.9</v>
      </c>
      <c r="ER18" s="584">
        <f>ROUND(8.96*2.5*1.9,0)</f>
        <v>43</v>
      </c>
      <c r="ES18" s="688">
        <v>1.5</v>
      </c>
      <c r="ET18" s="584">
        <f>ROUND(8.96*2.5*1.5,0)</f>
        <v>34</v>
      </c>
      <c r="EU18" s="688">
        <v>1.1000000000000001</v>
      </c>
      <c r="EV18" s="584">
        <f>ROUND(8.96*2.5*1.1,0)</f>
        <v>25</v>
      </c>
      <c r="EW18" s="688">
        <v>0</v>
      </c>
      <c r="EX18" s="584">
        <f>ROUND(8.96*2.5*0,0)</f>
        <v>0</v>
      </c>
      <c r="EY18" s="688">
        <v>0</v>
      </c>
      <c r="EZ18" s="584">
        <f>ROUND(8.96*2.5*0,0)</f>
        <v>0</v>
      </c>
      <c r="FA18" s="688">
        <v>0</v>
      </c>
      <c r="FB18" s="584">
        <f>ROUND(8.96*2.5*0,0)</f>
        <v>0</v>
      </c>
      <c r="FC18" s="688">
        <v>0</v>
      </c>
      <c r="FD18" s="584">
        <f>ROUND(8.96*2.5*0,0)</f>
        <v>0</v>
      </c>
      <c r="FE18" s="688">
        <v>0</v>
      </c>
      <c r="FF18" s="584">
        <f>ROUND(8.96*2.5*0,0)</f>
        <v>0</v>
      </c>
      <c r="FG18" s="688">
        <v>0</v>
      </c>
      <c r="FH18" s="586">
        <f>ROUND(8.96*2.5*0,0)</f>
        <v>0</v>
      </c>
      <c r="FI18" s="560"/>
      <c r="FJ18" s="561"/>
      <c r="FK18" s="693" t="s">
        <v>247</v>
      </c>
      <c r="FL18" s="684"/>
      <c r="FM18" s="580">
        <v>8.9600000000000009</v>
      </c>
      <c r="FN18" s="685">
        <v>2.5</v>
      </c>
      <c r="FO18" s="686"/>
      <c r="FP18" s="689">
        <v>9</v>
      </c>
      <c r="FQ18" s="690">
        <v>8</v>
      </c>
      <c r="FR18" s="584">
        <f>ROUND(8.96*2.5*8,0)</f>
        <v>179</v>
      </c>
      <c r="FS18" s="691">
        <v>9</v>
      </c>
      <c r="FT18" s="690">
        <v>8.1999999999999993</v>
      </c>
      <c r="FU18" s="589">
        <f>ROUND(8.96*2.5*8.2,0)</f>
        <v>184</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235</v>
      </c>
      <c r="C19" s="684"/>
      <c r="D19" s="580">
        <v>13.2</v>
      </c>
      <c r="E19" s="685">
        <v>0.5</v>
      </c>
      <c r="F19" s="686"/>
      <c r="G19" s="687">
        <v>0</v>
      </c>
      <c r="H19" s="584">
        <f>ROUND(13.2*0.5*0,0)</f>
        <v>0</v>
      </c>
      <c r="I19" s="688">
        <v>0</v>
      </c>
      <c r="J19" s="584">
        <f>ROUND(13.2*0.5*0,0)</f>
        <v>0</v>
      </c>
      <c r="K19" s="688">
        <v>0</v>
      </c>
      <c r="L19" s="584">
        <f>ROUND(13.2*0.5*0,0)</f>
        <v>0</v>
      </c>
      <c r="M19" s="688">
        <v>0</v>
      </c>
      <c r="N19" s="584">
        <f>ROUND(13.2*0.5*0,0)</f>
        <v>0</v>
      </c>
      <c r="O19" s="688">
        <v>0</v>
      </c>
      <c r="P19" s="584">
        <f>ROUND(13.2*0.5*0,0)</f>
        <v>0</v>
      </c>
      <c r="Q19" s="688">
        <v>0</v>
      </c>
      <c r="R19" s="584">
        <f>ROUND(13.2*0.5*0,0)</f>
        <v>0</v>
      </c>
      <c r="S19" s="688">
        <v>0</v>
      </c>
      <c r="T19" s="584">
        <f>ROUND(13.2*0.5*0,0)</f>
        <v>0</v>
      </c>
      <c r="U19" s="688">
        <v>0</v>
      </c>
      <c r="V19" s="584">
        <f>ROUND(13.2*0.5*0,0)</f>
        <v>0</v>
      </c>
      <c r="W19" s="688">
        <v>5.3</v>
      </c>
      <c r="X19" s="584">
        <f>ROUND(13.2*0.5*5.3,0)</f>
        <v>35</v>
      </c>
      <c r="Y19" s="688">
        <v>5.2</v>
      </c>
      <c r="Z19" s="584">
        <f>ROUND(13.2*0.5*5.2,0)</f>
        <v>34</v>
      </c>
      <c r="AA19" s="688">
        <v>5.2</v>
      </c>
      <c r="AB19" s="584">
        <f>ROUND(13.2*0.5*5.2,0)</f>
        <v>34</v>
      </c>
      <c r="AC19" s="688">
        <v>5.3</v>
      </c>
      <c r="AD19" s="584">
        <f>ROUND(13.2*0.5*5.3,0)</f>
        <v>35</v>
      </c>
      <c r="AE19" s="688">
        <v>5.7</v>
      </c>
      <c r="AF19" s="584">
        <f>ROUND(13.2*0.5*5.7,0)</f>
        <v>38</v>
      </c>
      <c r="AG19" s="688">
        <v>6.3</v>
      </c>
      <c r="AH19" s="584">
        <f>ROUND(13.2*0.5*6.3,0)</f>
        <v>42</v>
      </c>
      <c r="AI19" s="688">
        <v>7</v>
      </c>
      <c r="AJ19" s="584">
        <f>ROUND(13.2*0.5*7,0)</f>
        <v>46</v>
      </c>
      <c r="AK19" s="688">
        <v>7.8</v>
      </c>
      <c r="AL19" s="584">
        <f>ROUND(13.2*0.5*7.8,0)</f>
        <v>51</v>
      </c>
      <c r="AM19" s="688">
        <v>8.6</v>
      </c>
      <c r="AN19" s="584">
        <f>ROUND(13.2*0.5*8.6,0)</f>
        <v>57</v>
      </c>
      <c r="AO19" s="688">
        <v>9.4</v>
      </c>
      <c r="AP19" s="584">
        <f>ROUND(13.2*0.5*9.4,0)</f>
        <v>62</v>
      </c>
      <c r="AQ19" s="688">
        <v>0</v>
      </c>
      <c r="AR19" s="584">
        <f>ROUND(13.2*0.5*0,0)</f>
        <v>0</v>
      </c>
      <c r="AS19" s="688">
        <v>0</v>
      </c>
      <c r="AT19" s="584">
        <f>ROUND(13.2*0.5*0,0)</f>
        <v>0</v>
      </c>
      <c r="AU19" s="688">
        <v>0</v>
      </c>
      <c r="AV19" s="584">
        <f>ROUND(13.2*0.5*0,0)</f>
        <v>0</v>
      </c>
      <c r="AW19" s="688">
        <v>0</v>
      </c>
      <c r="AX19" s="584">
        <f>ROUND(13.2*0.5*0,0)</f>
        <v>0</v>
      </c>
      <c r="AY19" s="688">
        <v>0</v>
      </c>
      <c r="AZ19" s="584">
        <f>ROUND(13.2*0.5*0,0)</f>
        <v>0</v>
      </c>
      <c r="BA19" s="688">
        <v>0</v>
      </c>
      <c r="BB19" s="586">
        <f>ROUND(13.2*0.5*0,0)</f>
        <v>0</v>
      </c>
      <c r="BC19" s="559"/>
      <c r="BD19" s="549"/>
      <c r="BE19" s="693" t="s">
        <v>235</v>
      </c>
      <c r="BF19" s="684"/>
      <c r="BG19" s="580">
        <v>13.2</v>
      </c>
      <c r="BH19" s="685">
        <v>0.5</v>
      </c>
      <c r="BI19" s="686"/>
      <c r="BJ19" s="687">
        <v>0</v>
      </c>
      <c r="BK19" s="584">
        <f>ROUND(13.2*0.5*0,0)</f>
        <v>0</v>
      </c>
      <c r="BL19" s="688">
        <v>0</v>
      </c>
      <c r="BM19" s="584">
        <f>ROUND(13.2*0.5*0,0)</f>
        <v>0</v>
      </c>
      <c r="BN19" s="688">
        <v>0</v>
      </c>
      <c r="BO19" s="584">
        <f>ROUND(13.2*0.5*0,0)</f>
        <v>0</v>
      </c>
      <c r="BP19" s="688">
        <v>0</v>
      </c>
      <c r="BQ19" s="584">
        <f>ROUND(13.2*0.5*0,0)</f>
        <v>0</v>
      </c>
      <c r="BR19" s="688">
        <v>0</v>
      </c>
      <c r="BS19" s="584">
        <f>ROUND(13.2*0.5*0,0)</f>
        <v>0</v>
      </c>
      <c r="BT19" s="688">
        <v>0</v>
      </c>
      <c r="BU19" s="584">
        <f>ROUND(13.2*0.5*0,0)</f>
        <v>0</v>
      </c>
      <c r="BV19" s="688">
        <v>0</v>
      </c>
      <c r="BW19" s="584">
        <f>ROUND(13.2*0.5*0,0)</f>
        <v>0</v>
      </c>
      <c r="BX19" s="688">
        <v>0</v>
      </c>
      <c r="BY19" s="584">
        <f>ROUND(13.2*0.5*0,0)</f>
        <v>0</v>
      </c>
      <c r="BZ19" s="688">
        <v>5.2</v>
      </c>
      <c r="CA19" s="584">
        <f>ROUND(13.2*0.5*5.2,0)</f>
        <v>34</v>
      </c>
      <c r="CB19" s="688">
        <v>5</v>
      </c>
      <c r="CC19" s="584">
        <f>ROUND(13.2*0.5*5,0)</f>
        <v>33</v>
      </c>
      <c r="CD19" s="688">
        <v>5</v>
      </c>
      <c r="CE19" s="584">
        <f>ROUND(13.2*0.5*5,0)</f>
        <v>33</v>
      </c>
      <c r="CF19" s="688">
        <v>5.0999999999999996</v>
      </c>
      <c r="CG19" s="584">
        <f>ROUND(13.2*0.5*5.1,0)</f>
        <v>34</v>
      </c>
      <c r="CH19" s="688">
        <v>5.4</v>
      </c>
      <c r="CI19" s="584">
        <f>ROUND(13.2*0.5*5.4,0)</f>
        <v>36</v>
      </c>
      <c r="CJ19" s="688">
        <v>6</v>
      </c>
      <c r="CK19" s="584">
        <f>ROUND(13.2*0.5*6,0)</f>
        <v>40</v>
      </c>
      <c r="CL19" s="688">
        <v>6.8</v>
      </c>
      <c r="CM19" s="584">
        <f>ROUND(13.2*0.5*6.8,0)</f>
        <v>45</v>
      </c>
      <c r="CN19" s="688">
        <v>7.8</v>
      </c>
      <c r="CO19" s="584">
        <f>ROUND(13.2*0.5*7.8,0)</f>
        <v>51</v>
      </c>
      <c r="CP19" s="688">
        <v>8.6999999999999993</v>
      </c>
      <c r="CQ19" s="584">
        <f>ROUND(13.2*0.5*8.7,0)</f>
        <v>57</v>
      </c>
      <c r="CR19" s="688">
        <v>9.6</v>
      </c>
      <c r="CS19" s="584">
        <f>ROUND(13.2*0.5*9.6,0)</f>
        <v>63</v>
      </c>
      <c r="CT19" s="688">
        <v>0</v>
      </c>
      <c r="CU19" s="584">
        <f>ROUND(13.2*0.5*0,0)</f>
        <v>0</v>
      </c>
      <c r="CV19" s="688">
        <v>0</v>
      </c>
      <c r="CW19" s="584">
        <f>ROUND(13.2*0.5*0,0)</f>
        <v>0</v>
      </c>
      <c r="CX19" s="688">
        <v>0</v>
      </c>
      <c r="CY19" s="584">
        <f>ROUND(13.2*0.5*0,0)</f>
        <v>0</v>
      </c>
      <c r="CZ19" s="688">
        <v>0</v>
      </c>
      <c r="DA19" s="584">
        <f>ROUND(13.2*0.5*0,0)</f>
        <v>0</v>
      </c>
      <c r="DB19" s="688">
        <v>0</v>
      </c>
      <c r="DC19" s="584">
        <f>ROUND(13.2*0.5*0,0)</f>
        <v>0</v>
      </c>
      <c r="DD19" s="688">
        <v>0</v>
      </c>
      <c r="DE19" s="586">
        <f>ROUND(13.2*0.5*0,0)</f>
        <v>0</v>
      </c>
      <c r="DF19" s="559"/>
      <c r="DG19" s="549"/>
      <c r="DH19" s="693" t="s">
        <v>235</v>
      </c>
      <c r="DI19" s="684"/>
      <c r="DJ19" s="580">
        <v>13.2</v>
      </c>
      <c r="DK19" s="685">
        <v>0.5</v>
      </c>
      <c r="DL19" s="686"/>
      <c r="DM19" s="687">
        <v>0</v>
      </c>
      <c r="DN19" s="584">
        <f>ROUND(13.2*0.5*0,0)</f>
        <v>0</v>
      </c>
      <c r="DO19" s="688">
        <v>0</v>
      </c>
      <c r="DP19" s="584">
        <f>ROUND(13.2*0.5*0,0)</f>
        <v>0</v>
      </c>
      <c r="DQ19" s="688">
        <v>0</v>
      </c>
      <c r="DR19" s="584">
        <f>ROUND(13.2*0.5*0,0)</f>
        <v>0</v>
      </c>
      <c r="DS19" s="688">
        <v>0</v>
      </c>
      <c r="DT19" s="584">
        <f>ROUND(13.2*0.5*0,0)</f>
        <v>0</v>
      </c>
      <c r="DU19" s="688">
        <v>0</v>
      </c>
      <c r="DV19" s="584">
        <f>ROUND(13.2*0.5*0,0)</f>
        <v>0</v>
      </c>
      <c r="DW19" s="688">
        <v>0</v>
      </c>
      <c r="DX19" s="584">
        <f>ROUND(13.2*0.5*0,0)</f>
        <v>0</v>
      </c>
      <c r="DY19" s="688">
        <v>0</v>
      </c>
      <c r="DZ19" s="584">
        <f>ROUND(13.2*0.5*0,0)</f>
        <v>0</v>
      </c>
      <c r="EA19" s="688">
        <v>0</v>
      </c>
      <c r="EB19" s="584">
        <f>ROUND(13.2*0.5*0,0)</f>
        <v>0</v>
      </c>
      <c r="EC19" s="688">
        <v>3.8</v>
      </c>
      <c r="ED19" s="584">
        <f>ROUND(13.2*0.5*3.8,0)</f>
        <v>25</v>
      </c>
      <c r="EE19" s="688">
        <v>3.5</v>
      </c>
      <c r="EF19" s="584">
        <f>ROUND(13.2*0.5*3.5,0)</f>
        <v>23</v>
      </c>
      <c r="EG19" s="688">
        <v>3.4</v>
      </c>
      <c r="EH19" s="584">
        <f>ROUND(13.2*0.5*3.4,0)</f>
        <v>22</v>
      </c>
      <c r="EI19" s="688">
        <v>3.6</v>
      </c>
      <c r="EJ19" s="584">
        <f>ROUND(13.2*0.5*3.6,0)</f>
        <v>24</v>
      </c>
      <c r="EK19" s="688">
        <v>4.0999999999999996</v>
      </c>
      <c r="EL19" s="584">
        <f>ROUND(13.2*0.5*4.1,0)</f>
        <v>27</v>
      </c>
      <c r="EM19" s="688">
        <v>4.9000000000000004</v>
      </c>
      <c r="EN19" s="584">
        <f>ROUND(13.2*0.5*4.9,0)</f>
        <v>32</v>
      </c>
      <c r="EO19" s="688">
        <v>6</v>
      </c>
      <c r="EP19" s="584">
        <f>ROUND(13.2*0.5*6,0)</f>
        <v>40</v>
      </c>
      <c r="EQ19" s="688">
        <v>7.3</v>
      </c>
      <c r="ER19" s="584">
        <f>ROUND(13.2*0.5*7.3,0)</f>
        <v>48</v>
      </c>
      <c r="ES19" s="688">
        <v>8.5</v>
      </c>
      <c r="ET19" s="584">
        <f>ROUND(13.2*0.5*8.5,0)</f>
        <v>56</v>
      </c>
      <c r="EU19" s="688">
        <v>9.6</v>
      </c>
      <c r="EV19" s="584">
        <f>ROUND(13.2*0.5*9.6,0)</f>
        <v>63</v>
      </c>
      <c r="EW19" s="688">
        <v>0</v>
      </c>
      <c r="EX19" s="584">
        <f>ROUND(13.2*0.5*0,0)</f>
        <v>0</v>
      </c>
      <c r="EY19" s="688">
        <v>0</v>
      </c>
      <c r="EZ19" s="584">
        <f>ROUND(13.2*0.5*0,0)</f>
        <v>0</v>
      </c>
      <c r="FA19" s="688">
        <v>0</v>
      </c>
      <c r="FB19" s="584">
        <f>ROUND(13.2*0.5*0,0)</f>
        <v>0</v>
      </c>
      <c r="FC19" s="688">
        <v>0</v>
      </c>
      <c r="FD19" s="584">
        <f>ROUND(13.2*0.5*0,0)</f>
        <v>0</v>
      </c>
      <c r="FE19" s="688">
        <v>0</v>
      </c>
      <c r="FF19" s="584">
        <f>ROUND(13.2*0.5*0,0)</f>
        <v>0</v>
      </c>
      <c r="FG19" s="688">
        <v>0</v>
      </c>
      <c r="FH19" s="586">
        <f>ROUND(13.2*0.5*0,0)</f>
        <v>0</v>
      </c>
      <c r="FI19" s="560"/>
      <c r="FJ19" s="561"/>
      <c r="FK19" s="693" t="s">
        <v>235</v>
      </c>
      <c r="FL19" s="684"/>
      <c r="FM19" s="580">
        <v>13.2</v>
      </c>
      <c r="FN19" s="685">
        <v>0.5</v>
      </c>
      <c r="FO19" s="686"/>
      <c r="FP19" s="689">
        <v>9</v>
      </c>
      <c r="FQ19" s="690">
        <v>20</v>
      </c>
      <c r="FR19" s="584">
        <f>ROUND(13.2*0.5*20,0)</f>
        <v>132</v>
      </c>
      <c r="FS19" s="691">
        <v>9</v>
      </c>
      <c r="FT19" s="690">
        <v>20.5</v>
      </c>
      <c r="FU19" s="589">
        <f>ROUND(13.2*0.5*20.5,0)</f>
        <v>135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258</v>
      </c>
      <c r="C20" s="684"/>
      <c r="D20" s="580">
        <v>13.2</v>
      </c>
      <c r="E20" s="685">
        <v>2.8</v>
      </c>
      <c r="F20" s="686"/>
      <c r="G20" s="687">
        <v>0</v>
      </c>
      <c r="H20" s="584">
        <f>ROUND(13.2*2.8*0,0)</f>
        <v>0</v>
      </c>
      <c r="I20" s="688">
        <v>0</v>
      </c>
      <c r="J20" s="584">
        <f>ROUND(13.2*2.8*0,0)</f>
        <v>0</v>
      </c>
      <c r="K20" s="688">
        <v>0</v>
      </c>
      <c r="L20" s="584">
        <f>ROUND(13.2*2.8*0,0)</f>
        <v>0</v>
      </c>
      <c r="M20" s="688">
        <v>0</v>
      </c>
      <c r="N20" s="584">
        <f>ROUND(13.2*2.8*0,0)</f>
        <v>0</v>
      </c>
      <c r="O20" s="688">
        <v>0</v>
      </c>
      <c r="P20" s="584">
        <f>ROUND(13.2*2.8*0,0)</f>
        <v>0</v>
      </c>
      <c r="Q20" s="688">
        <v>0</v>
      </c>
      <c r="R20" s="584">
        <f>ROUND(13.2*2.8*0,0)</f>
        <v>0</v>
      </c>
      <c r="S20" s="688">
        <v>0</v>
      </c>
      <c r="T20" s="584">
        <f>ROUND(13.2*2.8*0,0)</f>
        <v>0</v>
      </c>
      <c r="U20" s="688">
        <v>0</v>
      </c>
      <c r="V20" s="584">
        <f>ROUND(13.2*2.8*0,0)</f>
        <v>0</v>
      </c>
      <c r="W20" s="688">
        <v>1.6</v>
      </c>
      <c r="X20" s="584">
        <f>ROUND(13.2*2.8*1.6,0)</f>
        <v>59</v>
      </c>
      <c r="Y20" s="688">
        <v>2</v>
      </c>
      <c r="Z20" s="584">
        <f>ROUND(13.2*2.8*2,0)</f>
        <v>74</v>
      </c>
      <c r="AA20" s="688">
        <v>2.2000000000000002</v>
      </c>
      <c r="AB20" s="584">
        <f>ROUND(13.2*2.8*2.2,0)</f>
        <v>81</v>
      </c>
      <c r="AC20" s="688">
        <v>2.2999999999999998</v>
      </c>
      <c r="AD20" s="584">
        <f>ROUND(13.2*2.8*2.3,0)</f>
        <v>85</v>
      </c>
      <c r="AE20" s="688">
        <v>2.4</v>
      </c>
      <c r="AF20" s="584">
        <f>ROUND(13.2*2.8*2.4,0)</f>
        <v>89</v>
      </c>
      <c r="AG20" s="688">
        <v>2.4</v>
      </c>
      <c r="AH20" s="584">
        <f>ROUND(13.2*2.8*2.4,0)</f>
        <v>89</v>
      </c>
      <c r="AI20" s="688">
        <v>2.2000000000000002</v>
      </c>
      <c r="AJ20" s="584">
        <f>ROUND(13.2*2.8*2.2,0)</f>
        <v>81</v>
      </c>
      <c r="AK20" s="688">
        <v>2.1</v>
      </c>
      <c r="AL20" s="584">
        <f>ROUND(13.2*2.8*2.1,0)</f>
        <v>78</v>
      </c>
      <c r="AM20" s="688">
        <v>1.8</v>
      </c>
      <c r="AN20" s="584">
        <f>ROUND(13.2*2.8*1.8,0)</f>
        <v>67</v>
      </c>
      <c r="AO20" s="688">
        <v>1.6</v>
      </c>
      <c r="AP20" s="584">
        <f>ROUND(13.2*2.8*1.6,0)</f>
        <v>59</v>
      </c>
      <c r="AQ20" s="688">
        <v>0</v>
      </c>
      <c r="AR20" s="584">
        <f>ROUND(13.2*2.8*0,0)</f>
        <v>0</v>
      </c>
      <c r="AS20" s="688">
        <v>0</v>
      </c>
      <c r="AT20" s="584">
        <f>ROUND(13.2*2.8*0,0)</f>
        <v>0</v>
      </c>
      <c r="AU20" s="688">
        <v>0</v>
      </c>
      <c r="AV20" s="584">
        <f>ROUND(13.2*2.8*0,0)</f>
        <v>0</v>
      </c>
      <c r="AW20" s="688">
        <v>0</v>
      </c>
      <c r="AX20" s="584">
        <f>ROUND(13.2*2.8*0,0)</f>
        <v>0</v>
      </c>
      <c r="AY20" s="688">
        <v>0</v>
      </c>
      <c r="AZ20" s="584">
        <f>ROUND(13.2*2.8*0,0)</f>
        <v>0</v>
      </c>
      <c r="BA20" s="688">
        <v>0</v>
      </c>
      <c r="BB20" s="586">
        <f>ROUND(13.2*2.8*0,0)</f>
        <v>0</v>
      </c>
      <c r="BC20" s="559"/>
      <c r="BD20" s="549"/>
      <c r="BE20" s="693" t="s">
        <v>258</v>
      </c>
      <c r="BF20" s="684"/>
      <c r="BG20" s="580">
        <v>13.2</v>
      </c>
      <c r="BH20" s="685">
        <v>2.8</v>
      </c>
      <c r="BI20" s="686"/>
      <c r="BJ20" s="687">
        <v>0</v>
      </c>
      <c r="BK20" s="584">
        <f>ROUND(13.2*2.8*0,0)</f>
        <v>0</v>
      </c>
      <c r="BL20" s="688">
        <v>0</v>
      </c>
      <c r="BM20" s="584">
        <f>ROUND(13.2*2.8*0,0)</f>
        <v>0</v>
      </c>
      <c r="BN20" s="688">
        <v>0</v>
      </c>
      <c r="BO20" s="584">
        <f>ROUND(13.2*2.8*0,0)</f>
        <v>0</v>
      </c>
      <c r="BP20" s="688">
        <v>0</v>
      </c>
      <c r="BQ20" s="584">
        <f>ROUND(13.2*2.8*0,0)</f>
        <v>0</v>
      </c>
      <c r="BR20" s="688">
        <v>0</v>
      </c>
      <c r="BS20" s="584">
        <f>ROUND(13.2*2.8*0,0)</f>
        <v>0</v>
      </c>
      <c r="BT20" s="688">
        <v>0</v>
      </c>
      <c r="BU20" s="584">
        <f>ROUND(13.2*2.8*0,0)</f>
        <v>0</v>
      </c>
      <c r="BV20" s="688">
        <v>0</v>
      </c>
      <c r="BW20" s="584">
        <f>ROUND(13.2*2.8*0,0)</f>
        <v>0</v>
      </c>
      <c r="BX20" s="688">
        <v>0</v>
      </c>
      <c r="BY20" s="584">
        <f>ROUND(13.2*2.8*0,0)</f>
        <v>0</v>
      </c>
      <c r="BZ20" s="688">
        <v>1.5</v>
      </c>
      <c r="CA20" s="584">
        <f>ROUND(13.2*2.8*1.5,0)</f>
        <v>55</v>
      </c>
      <c r="CB20" s="688">
        <v>1.8</v>
      </c>
      <c r="CC20" s="584">
        <f>ROUND(13.2*2.8*1.8,0)</f>
        <v>67</v>
      </c>
      <c r="CD20" s="688">
        <v>2.1</v>
      </c>
      <c r="CE20" s="584">
        <f>ROUND(13.2*2.8*2.1,0)</f>
        <v>78</v>
      </c>
      <c r="CF20" s="688">
        <v>2.2000000000000002</v>
      </c>
      <c r="CG20" s="584">
        <f>ROUND(13.2*2.8*2.2,0)</f>
        <v>81</v>
      </c>
      <c r="CH20" s="688">
        <v>2.2999999999999998</v>
      </c>
      <c r="CI20" s="584">
        <f>ROUND(13.2*2.8*2.3,0)</f>
        <v>85</v>
      </c>
      <c r="CJ20" s="688">
        <v>2.2000000000000002</v>
      </c>
      <c r="CK20" s="584">
        <f>ROUND(13.2*2.8*2.2,0)</f>
        <v>81</v>
      </c>
      <c r="CL20" s="688">
        <v>2.1</v>
      </c>
      <c r="CM20" s="584">
        <f>ROUND(13.2*2.8*2.1,0)</f>
        <v>78</v>
      </c>
      <c r="CN20" s="688">
        <v>2</v>
      </c>
      <c r="CO20" s="584">
        <f>ROUND(13.2*2.8*2,0)</f>
        <v>74</v>
      </c>
      <c r="CP20" s="688">
        <v>1.8</v>
      </c>
      <c r="CQ20" s="584">
        <f>ROUND(13.2*2.8*1.8,0)</f>
        <v>67</v>
      </c>
      <c r="CR20" s="688">
        <v>1.5</v>
      </c>
      <c r="CS20" s="584">
        <f>ROUND(13.2*2.8*1.5,0)</f>
        <v>55</v>
      </c>
      <c r="CT20" s="688">
        <v>0</v>
      </c>
      <c r="CU20" s="584">
        <f>ROUND(13.2*2.8*0,0)</f>
        <v>0</v>
      </c>
      <c r="CV20" s="688">
        <v>0</v>
      </c>
      <c r="CW20" s="584">
        <f>ROUND(13.2*2.8*0,0)</f>
        <v>0</v>
      </c>
      <c r="CX20" s="688">
        <v>0</v>
      </c>
      <c r="CY20" s="584">
        <f>ROUND(13.2*2.8*0,0)</f>
        <v>0</v>
      </c>
      <c r="CZ20" s="688">
        <v>0</v>
      </c>
      <c r="DA20" s="584">
        <f>ROUND(13.2*2.8*0,0)</f>
        <v>0</v>
      </c>
      <c r="DB20" s="688">
        <v>0</v>
      </c>
      <c r="DC20" s="584">
        <f>ROUND(13.2*2.8*0,0)</f>
        <v>0</v>
      </c>
      <c r="DD20" s="688">
        <v>0</v>
      </c>
      <c r="DE20" s="586">
        <f>ROUND(13.2*2.8*0,0)</f>
        <v>0</v>
      </c>
      <c r="DF20" s="559"/>
      <c r="DG20" s="549"/>
      <c r="DH20" s="693" t="s">
        <v>258</v>
      </c>
      <c r="DI20" s="684"/>
      <c r="DJ20" s="580">
        <v>13.2</v>
      </c>
      <c r="DK20" s="685">
        <v>2.8</v>
      </c>
      <c r="DL20" s="686"/>
      <c r="DM20" s="687">
        <v>0</v>
      </c>
      <c r="DN20" s="584">
        <f>ROUND(13.2*2.8*0,0)</f>
        <v>0</v>
      </c>
      <c r="DO20" s="688">
        <v>0</v>
      </c>
      <c r="DP20" s="584">
        <f>ROUND(13.2*2.8*0,0)</f>
        <v>0</v>
      </c>
      <c r="DQ20" s="688">
        <v>0</v>
      </c>
      <c r="DR20" s="584">
        <f>ROUND(13.2*2.8*0,0)</f>
        <v>0</v>
      </c>
      <c r="DS20" s="688">
        <v>0</v>
      </c>
      <c r="DT20" s="584">
        <f>ROUND(13.2*2.8*0,0)</f>
        <v>0</v>
      </c>
      <c r="DU20" s="688">
        <v>0</v>
      </c>
      <c r="DV20" s="584">
        <f>ROUND(13.2*2.8*0,0)</f>
        <v>0</v>
      </c>
      <c r="DW20" s="688">
        <v>0</v>
      </c>
      <c r="DX20" s="584">
        <f>ROUND(13.2*2.8*0,0)</f>
        <v>0</v>
      </c>
      <c r="DY20" s="688">
        <v>0</v>
      </c>
      <c r="DZ20" s="584">
        <f>ROUND(13.2*2.8*0,0)</f>
        <v>0</v>
      </c>
      <c r="EA20" s="688">
        <v>0</v>
      </c>
      <c r="EB20" s="584">
        <f>ROUND(13.2*2.8*0,0)</f>
        <v>0</v>
      </c>
      <c r="EC20" s="688">
        <v>0.8</v>
      </c>
      <c r="ED20" s="584">
        <f>ROUND(13.2*2.8*0.8,0)</f>
        <v>30</v>
      </c>
      <c r="EE20" s="688">
        <v>1.2</v>
      </c>
      <c r="EF20" s="584">
        <f>ROUND(13.2*2.8*1.2,0)</f>
        <v>44</v>
      </c>
      <c r="EG20" s="688">
        <v>1.5</v>
      </c>
      <c r="EH20" s="584">
        <f>ROUND(13.2*2.8*1.5,0)</f>
        <v>55</v>
      </c>
      <c r="EI20" s="688">
        <v>1.7</v>
      </c>
      <c r="EJ20" s="584">
        <f>ROUND(13.2*2.8*1.7,0)</f>
        <v>63</v>
      </c>
      <c r="EK20" s="688">
        <v>1.7</v>
      </c>
      <c r="EL20" s="584">
        <f>ROUND(13.2*2.8*1.7,0)</f>
        <v>63</v>
      </c>
      <c r="EM20" s="688">
        <v>1.6</v>
      </c>
      <c r="EN20" s="584">
        <f>ROUND(13.2*2.8*1.6,0)</f>
        <v>59</v>
      </c>
      <c r="EO20" s="688">
        <v>1.5</v>
      </c>
      <c r="EP20" s="584">
        <f>ROUND(13.2*2.8*1.5,0)</f>
        <v>55</v>
      </c>
      <c r="EQ20" s="688">
        <v>1.4</v>
      </c>
      <c r="ER20" s="584">
        <f>ROUND(13.2*2.8*1.4,0)</f>
        <v>52</v>
      </c>
      <c r="ES20" s="688">
        <v>1.1000000000000001</v>
      </c>
      <c r="ET20" s="584">
        <f>ROUND(13.2*2.8*1.1,0)</f>
        <v>41</v>
      </c>
      <c r="EU20" s="688">
        <v>0.8</v>
      </c>
      <c r="EV20" s="584">
        <f>ROUND(13.2*2.8*0.8,0)</f>
        <v>30</v>
      </c>
      <c r="EW20" s="688">
        <v>0</v>
      </c>
      <c r="EX20" s="584">
        <f>ROUND(13.2*2.8*0,0)</f>
        <v>0</v>
      </c>
      <c r="EY20" s="688">
        <v>0</v>
      </c>
      <c r="EZ20" s="584">
        <f>ROUND(13.2*2.8*0,0)</f>
        <v>0</v>
      </c>
      <c r="FA20" s="688">
        <v>0</v>
      </c>
      <c r="FB20" s="584">
        <f>ROUND(13.2*2.8*0,0)</f>
        <v>0</v>
      </c>
      <c r="FC20" s="688">
        <v>0</v>
      </c>
      <c r="FD20" s="584">
        <f>ROUND(13.2*2.8*0,0)</f>
        <v>0</v>
      </c>
      <c r="FE20" s="688">
        <v>0</v>
      </c>
      <c r="FF20" s="584">
        <f>ROUND(13.2*2.8*0,0)</f>
        <v>0</v>
      </c>
      <c r="FG20" s="688">
        <v>0</v>
      </c>
      <c r="FH20" s="586">
        <f>ROUND(13.2*2.8*0,0)</f>
        <v>0</v>
      </c>
      <c r="FI20" s="560"/>
      <c r="FJ20" s="561"/>
      <c r="FK20" s="693" t="s">
        <v>258</v>
      </c>
      <c r="FL20" s="684"/>
      <c r="FM20" s="580">
        <v>13.2</v>
      </c>
      <c r="FN20" s="685">
        <v>2.8</v>
      </c>
      <c r="FO20" s="686"/>
      <c r="FP20" s="689">
        <v>9</v>
      </c>
      <c r="FQ20" s="690">
        <v>6</v>
      </c>
      <c r="FR20" s="584">
        <f>ROUND(13.2*2.8*6,0)</f>
        <v>222</v>
      </c>
      <c r="FS20" s="691">
        <v>9</v>
      </c>
      <c r="FT20" s="690">
        <v>6.1</v>
      </c>
      <c r="FU20" s="589">
        <f>ROUND(13.2*2.8*6.1,0)</f>
        <v>225</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455</v>
      </c>
      <c r="GL21" s="695"/>
      <c r="GM21" s="696"/>
      <c r="GN21" s="635">
        <v>0</v>
      </c>
      <c r="GO21" s="697"/>
      <c r="GP21" s="698"/>
      <c r="GQ21" s="630">
        <v>0</v>
      </c>
      <c r="GR21" s="631">
        <v>0</v>
      </c>
      <c r="GS21" s="575"/>
      <c r="GT21" s="670"/>
      <c r="GU21" s="694" t="s">
        <v>455</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456</v>
      </c>
      <c r="GL22" s="705"/>
      <c r="GM22" s="705"/>
      <c r="GN22" s="706"/>
      <c r="GO22" s="630">
        <v>0</v>
      </c>
      <c r="GP22" s="630">
        <v>1</v>
      </c>
      <c r="GQ22" s="707"/>
      <c r="GR22" s="708"/>
      <c r="GS22" s="575"/>
      <c r="GT22" s="670"/>
      <c r="GU22" s="704" t="s">
        <v>456</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457</v>
      </c>
      <c r="GL23" s="606"/>
      <c r="GM23" s="711"/>
      <c r="GN23" s="712">
        <v>13.2</v>
      </c>
      <c r="GO23" s="497" t="s">
        <v>458</v>
      </c>
      <c r="GP23" s="712"/>
      <c r="GQ23" s="606"/>
      <c r="GR23" s="612"/>
      <c r="GS23" s="575"/>
      <c r="GT23" s="670"/>
      <c r="GU23" s="606"/>
      <c r="GV23" s="527"/>
      <c r="GW23" s="606"/>
      <c r="GX23" s="606"/>
      <c r="GY23" s="713"/>
      <c r="GZ23" s="714"/>
      <c r="HA23" s="414"/>
      <c r="HB23" s="714" t="s">
        <v>459</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460</v>
      </c>
      <c r="GL24" s="606"/>
      <c r="GM24" s="711"/>
      <c r="GN24" s="712">
        <v>0</v>
      </c>
      <c r="GO24" s="712"/>
      <c r="GP24" s="712"/>
      <c r="GQ24" s="606"/>
      <c r="GR24" s="612"/>
      <c r="GS24" s="606"/>
      <c r="GT24" s="670"/>
      <c r="GU24" s="577" t="s">
        <v>461</v>
      </c>
      <c r="GV24" s="606"/>
      <c r="GW24" s="606"/>
      <c r="GX24" s="414"/>
      <c r="GY24" s="715">
        <v>614</v>
      </c>
      <c r="GZ24" s="577" t="s">
        <v>462</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463</v>
      </c>
      <c r="GV25" s="606"/>
      <c r="GW25" s="606"/>
      <c r="GX25" s="414"/>
      <c r="GY25" s="726">
        <v>1</v>
      </c>
      <c r="GZ25" s="577"/>
      <c r="HA25" s="527"/>
      <c r="HB25" s="527"/>
      <c r="HC25" s="527"/>
      <c r="HD25" s="559"/>
      <c r="HE25" s="559"/>
      <c r="HF25" s="416"/>
      <c r="HG25" s="416"/>
    </row>
    <row r="26" spans="1:218" ht="20.100000000000001" customHeight="1">
      <c r="A26" s="638"/>
      <c r="B26" s="639"/>
      <c r="C26" s="639"/>
      <c r="D26" s="639" t="s">
        <v>555</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319</v>
      </c>
      <c r="Y26" s="728"/>
      <c r="Z26" s="642">
        <f>SUM(Z16:Z25)</f>
        <v>389</v>
      </c>
      <c r="AA26" s="728"/>
      <c r="AB26" s="642">
        <f>SUM(AB16:AB25)</f>
        <v>431</v>
      </c>
      <c r="AC26" s="728"/>
      <c r="AD26" s="642">
        <f>SUM(AD16:AD25)</f>
        <v>450</v>
      </c>
      <c r="AE26" s="728"/>
      <c r="AF26" s="642">
        <f>SUM(AF16:AF25)</f>
        <v>454</v>
      </c>
      <c r="AG26" s="728"/>
      <c r="AH26" s="642">
        <f>SUM(AH16:AH25)</f>
        <v>448</v>
      </c>
      <c r="AI26" s="728"/>
      <c r="AJ26" s="642">
        <f>SUM(AJ16:AJ25)</f>
        <v>425</v>
      </c>
      <c r="AK26" s="728"/>
      <c r="AL26" s="642">
        <f>SUM(AL16:AL25)</f>
        <v>410</v>
      </c>
      <c r="AM26" s="728"/>
      <c r="AN26" s="642">
        <f>SUM(AN16:AN25)</f>
        <v>374</v>
      </c>
      <c r="AO26" s="728"/>
      <c r="AP26" s="642">
        <f>SUM(AP16:AP25)</f>
        <v>342</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317</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378</v>
      </c>
      <c r="CB26" s="728"/>
      <c r="CC26" s="642">
        <f>SUM(CC16:CC25)</f>
        <v>443</v>
      </c>
      <c r="CD26" s="728"/>
      <c r="CE26" s="642">
        <f>SUM(CE16:CE25)</f>
        <v>484</v>
      </c>
      <c r="CF26" s="728"/>
      <c r="CG26" s="642">
        <f>SUM(CG16:CG25)</f>
        <v>484</v>
      </c>
      <c r="CH26" s="728"/>
      <c r="CI26" s="642">
        <f>SUM(CI16:CI25)</f>
        <v>466</v>
      </c>
      <c r="CJ26" s="728"/>
      <c r="CK26" s="642">
        <f>SUM(CK16:CK25)</f>
        <v>438</v>
      </c>
      <c r="CL26" s="728"/>
      <c r="CM26" s="642">
        <f>SUM(CM16:CM25)</f>
        <v>416</v>
      </c>
      <c r="CN26" s="728"/>
      <c r="CO26" s="642">
        <f>SUM(CO16:CO25)</f>
        <v>395</v>
      </c>
      <c r="CP26" s="728"/>
      <c r="CQ26" s="642">
        <f>SUM(CQ16:CQ25)</f>
        <v>369</v>
      </c>
      <c r="CR26" s="728"/>
      <c r="CS26" s="642">
        <f>SUM(CS16:CS25)</f>
        <v>330</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317</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279</v>
      </c>
      <c r="EE26" s="728"/>
      <c r="EF26" s="642">
        <f>SUM(EF16:EF25)</f>
        <v>354</v>
      </c>
      <c r="EG26" s="728"/>
      <c r="EH26" s="642">
        <f>SUM(EH16:EH25)</f>
        <v>399</v>
      </c>
      <c r="EI26" s="728"/>
      <c r="EJ26" s="642">
        <f>SUM(EJ16:EJ25)</f>
        <v>409</v>
      </c>
      <c r="EK26" s="728"/>
      <c r="EL26" s="642">
        <f>SUM(EL16:EL25)</f>
        <v>386</v>
      </c>
      <c r="EM26" s="728"/>
      <c r="EN26" s="642">
        <f>SUM(EN16:EN25)</f>
        <v>354</v>
      </c>
      <c r="EO26" s="728"/>
      <c r="EP26" s="642">
        <f>SUM(EP16:EP25)</f>
        <v>330</v>
      </c>
      <c r="EQ26" s="728"/>
      <c r="ER26" s="642">
        <f>SUM(ER16:ER25)</f>
        <v>312</v>
      </c>
      <c r="ES26" s="728"/>
      <c r="ET26" s="642">
        <f>SUM(ET16:ET25)</f>
        <v>275</v>
      </c>
      <c r="EU26" s="728"/>
      <c r="EV26" s="642">
        <f>SUM(EV16:EV25)</f>
        <v>233</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555</v>
      </c>
      <c r="FN26" s="639"/>
      <c r="FO26" s="639"/>
      <c r="FP26" s="647"/>
      <c r="FQ26" s="648"/>
      <c r="FR26" s="642">
        <f>SUM(FR16:FR25)</f>
        <v>937</v>
      </c>
      <c r="FS26" s="729"/>
      <c r="FT26" s="648"/>
      <c r="FU26" s="650">
        <f>SUM(FU16:FU25)</f>
        <v>957</v>
      </c>
      <c r="FV26" s="590"/>
      <c r="FW26" s="591"/>
      <c r="FX26" s="592"/>
      <c r="FY26" s="593"/>
      <c r="FZ26" s="594"/>
      <c r="GA26" s="595"/>
      <c r="GB26" s="596"/>
      <c r="GC26" s="597"/>
      <c r="GD26" s="596"/>
      <c r="GE26" s="598"/>
      <c r="GF26" s="651"/>
      <c r="GG26" s="652"/>
      <c r="GH26" s="652"/>
      <c r="GI26" s="652"/>
      <c r="GJ26" s="612"/>
      <c r="GK26" s="527" t="s">
        <v>464</v>
      </c>
      <c r="GL26" s="612"/>
      <c r="GM26" s="527"/>
      <c r="GN26" s="612"/>
      <c r="GO26" s="527"/>
      <c r="GP26" s="612"/>
      <c r="GQ26" s="612"/>
      <c r="GR26" s="612"/>
      <c r="GS26" s="576"/>
      <c r="GT26" s="670"/>
      <c r="GU26" s="577" t="s">
        <v>465</v>
      </c>
      <c r="GV26" s="606"/>
      <c r="GW26" s="606"/>
      <c r="GX26" s="414"/>
      <c r="GY26" s="726">
        <v>0</v>
      </c>
      <c r="GZ26" s="577"/>
      <c r="HA26" s="527"/>
      <c r="HB26" s="527"/>
      <c r="HC26" s="527"/>
      <c r="HD26" s="645"/>
      <c r="HE26" s="416"/>
      <c r="HF26" s="416"/>
      <c r="HG26" s="577"/>
      <c r="HH26" s="645"/>
      <c r="HI26" s="416"/>
      <c r="HJ26" s="416"/>
    </row>
    <row r="27" spans="1:218" ht="20.100000000000001" customHeight="1">
      <c r="A27" s="730" t="s">
        <v>568</v>
      </c>
      <c r="B27" s="731"/>
      <c r="C27" s="732"/>
      <c r="D27" s="660"/>
      <c r="E27" s="732"/>
      <c r="F27" s="732"/>
      <c r="G27" s="733" t="s">
        <v>392</v>
      </c>
      <c r="H27" s="660" t="s">
        <v>393</v>
      </c>
      <c r="I27" s="734" t="s">
        <v>392</v>
      </c>
      <c r="J27" s="660" t="s">
        <v>569</v>
      </c>
      <c r="K27" s="735" t="s">
        <v>392</v>
      </c>
      <c r="L27" s="660" t="s">
        <v>393</v>
      </c>
      <c r="M27" s="735" t="s">
        <v>392</v>
      </c>
      <c r="N27" s="660" t="s">
        <v>393</v>
      </c>
      <c r="O27" s="735" t="s">
        <v>392</v>
      </c>
      <c r="P27" s="660" t="s">
        <v>393</v>
      </c>
      <c r="Q27" s="735" t="s">
        <v>392</v>
      </c>
      <c r="R27" s="660" t="s">
        <v>393</v>
      </c>
      <c r="S27" s="735" t="s">
        <v>392</v>
      </c>
      <c r="T27" s="660" t="s">
        <v>393</v>
      </c>
      <c r="U27" s="735" t="s">
        <v>392</v>
      </c>
      <c r="V27" s="660" t="s">
        <v>393</v>
      </c>
      <c r="W27" s="735" t="s">
        <v>392</v>
      </c>
      <c r="X27" s="660" t="s">
        <v>393</v>
      </c>
      <c r="Y27" s="735" t="s">
        <v>392</v>
      </c>
      <c r="Z27" s="660" t="s">
        <v>393</v>
      </c>
      <c r="AA27" s="735" t="s">
        <v>392</v>
      </c>
      <c r="AB27" s="660" t="s">
        <v>393</v>
      </c>
      <c r="AC27" s="735" t="s">
        <v>392</v>
      </c>
      <c r="AD27" s="660" t="s">
        <v>393</v>
      </c>
      <c r="AE27" s="735" t="s">
        <v>392</v>
      </c>
      <c r="AF27" s="660" t="s">
        <v>393</v>
      </c>
      <c r="AG27" s="735" t="s">
        <v>392</v>
      </c>
      <c r="AH27" s="660" t="s">
        <v>393</v>
      </c>
      <c r="AI27" s="735" t="s">
        <v>392</v>
      </c>
      <c r="AJ27" s="660" t="s">
        <v>393</v>
      </c>
      <c r="AK27" s="735" t="s">
        <v>392</v>
      </c>
      <c r="AL27" s="660" t="s">
        <v>393</v>
      </c>
      <c r="AM27" s="735" t="s">
        <v>392</v>
      </c>
      <c r="AN27" s="660" t="s">
        <v>393</v>
      </c>
      <c r="AO27" s="735" t="s">
        <v>392</v>
      </c>
      <c r="AP27" s="660" t="s">
        <v>393</v>
      </c>
      <c r="AQ27" s="735" t="s">
        <v>392</v>
      </c>
      <c r="AR27" s="660" t="s">
        <v>393</v>
      </c>
      <c r="AS27" s="735" t="s">
        <v>392</v>
      </c>
      <c r="AT27" s="660" t="s">
        <v>393</v>
      </c>
      <c r="AU27" s="735" t="s">
        <v>392</v>
      </c>
      <c r="AV27" s="660" t="s">
        <v>393</v>
      </c>
      <c r="AW27" s="735" t="s">
        <v>392</v>
      </c>
      <c r="AX27" s="660" t="s">
        <v>393</v>
      </c>
      <c r="AY27" s="735" t="s">
        <v>392</v>
      </c>
      <c r="AZ27" s="660" t="s">
        <v>393</v>
      </c>
      <c r="BA27" s="735" t="s">
        <v>392</v>
      </c>
      <c r="BB27" s="662" t="s">
        <v>393</v>
      </c>
      <c r="BC27" s="716"/>
      <c r="BD27" s="730" t="s">
        <v>391</v>
      </c>
      <c r="BE27" s="731"/>
      <c r="BF27" s="732"/>
      <c r="BG27" s="660"/>
      <c r="BH27" s="732"/>
      <c r="BI27" s="732"/>
      <c r="BJ27" s="733" t="s">
        <v>392</v>
      </c>
      <c r="BK27" s="660" t="s">
        <v>393</v>
      </c>
      <c r="BL27" s="734" t="s">
        <v>392</v>
      </c>
      <c r="BM27" s="660" t="s">
        <v>393</v>
      </c>
      <c r="BN27" s="735" t="s">
        <v>392</v>
      </c>
      <c r="BO27" s="660" t="s">
        <v>393</v>
      </c>
      <c r="BP27" s="735" t="s">
        <v>392</v>
      </c>
      <c r="BQ27" s="660" t="s">
        <v>393</v>
      </c>
      <c r="BR27" s="735" t="s">
        <v>392</v>
      </c>
      <c r="BS27" s="660" t="s">
        <v>393</v>
      </c>
      <c r="BT27" s="735" t="s">
        <v>392</v>
      </c>
      <c r="BU27" s="660" t="s">
        <v>393</v>
      </c>
      <c r="BV27" s="735" t="s">
        <v>392</v>
      </c>
      <c r="BW27" s="660" t="s">
        <v>393</v>
      </c>
      <c r="BX27" s="735" t="s">
        <v>392</v>
      </c>
      <c r="BY27" s="660" t="s">
        <v>393</v>
      </c>
      <c r="BZ27" s="735" t="s">
        <v>392</v>
      </c>
      <c r="CA27" s="660" t="s">
        <v>393</v>
      </c>
      <c r="CB27" s="735" t="s">
        <v>392</v>
      </c>
      <c r="CC27" s="660" t="s">
        <v>393</v>
      </c>
      <c r="CD27" s="735" t="s">
        <v>392</v>
      </c>
      <c r="CE27" s="660" t="s">
        <v>393</v>
      </c>
      <c r="CF27" s="735" t="s">
        <v>392</v>
      </c>
      <c r="CG27" s="660" t="s">
        <v>393</v>
      </c>
      <c r="CH27" s="735" t="s">
        <v>392</v>
      </c>
      <c r="CI27" s="660" t="s">
        <v>393</v>
      </c>
      <c r="CJ27" s="735" t="s">
        <v>392</v>
      </c>
      <c r="CK27" s="660" t="s">
        <v>393</v>
      </c>
      <c r="CL27" s="735" t="s">
        <v>392</v>
      </c>
      <c r="CM27" s="660" t="s">
        <v>393</v>
      </c>
      <c r="CN27" s="735" t="s">
        <v>392</v>
      </c>
      <c r="CO27" s="660" t="s">
        <v>393</v>
      </c>
      <c r="CP27" s="735" t="s">
        <v>392</v>
      </c>
      <c r="CQ27" s="660" t="s">
        <v>393</v>
      </c>
      <c r="CR27" s="735" t="s">
        <v>392</v>
      </c>
      <c r="CS27" s="660" t="s">
        <v>393</v>
      </c>
      <c r="CT27" s="735" t="s">
        <v>392</v>
      </c>
      <c r="CU27" s="660" t="s">
        <v>393</v>
      </c>
      <c r="CV27" s="735" t="s">
        <v>392</v>
      </c>
      <c r="CW27" s="660" t="s">
        <v>393</v>
      </c>
      <c r="CX27" s="735" t="s">
        <v>392</v>
      </c>
      <c r="CY27" s="660" t="s">
        <v>393</v>
      </c>
      <c r="CZ27" s="735" t="s">
        <v>392</v>
      </c>
      <c r="DA27" s="660" t="s">
        <v>393</v>
      </c>
      <c r="DB27" s="735" t="s">
        <v>392</v>
      </c>
      <c r="DC27" s="660" t="s">
        <v>393</v>
      </c>
      <c r="DD27" s="735" t="s">
        <v>392</v>
      </c>
      <c r="DE27" s="662" t="s">
        <v>393</v>
      </c>
      <c r="DF27" s="716"/>
      <c r="DG27" s="730" t="s">
        <v>391</v>
      </c>
      <c r="DH27" s="736"/>
      <c r="DI27" s="737"/>
      <c r="DJ27" s="738"/>
      <c r="DK27" s="737"/>
      <c r="DL27" s="737"/>
      <c r="DM27" s="733" t="s">
        <v>392</v>
      </c>
      <c r="DN27" s="660" t="s">
        <v>393</v>
      </c>
      <c r="DO27" s="734" t="s">
        <v>392</v>
      </c>
      <c r="DP27" s="660" t="s">
        <v>393</v>
      </c>
      <c r="DQ27" s="735" t="s">
        <v>392</v>
      </c>
      <c r="DR27" s="660" t="s">
        <v>393</v>
      </c>
      <c r="DS27" s="735" t="s">
        <v>392</v>
      </c>
      <c r="DT27" s="660" t="s">
        <v>393</v>
      </c>
      <c r="DU27" s="735" t="s">
        <v>392</v>
      </c>
      <c r="DV27" s="660" t="s">
        <v>393</v>
      </c>
      <c r="DW27" s="735" t="s">
        <v>392</v>
      </c>
      <c r="DX27" s="660" t="s">
        <v>393</v>
      </c>
      <c r="DY27" s="735" t="s">
        <v>392</v>
      </c>
      <c r="DZ27" s="660" t="s">
        <v>393</v>
      </c>
      <c r="EA27" s="735" t="s">
        <v>392</v>
      </c>
      <c r="EB27" s="660" t="s">
        <v>393</v>
      </c>
      <c r="EC27" s="735" t="s">
        <v>392</v>
      </c>
      <c r="ED27" s="660" t="s">
        <v>393</v>
      </c>
      <c r="EE27" s="735" t="s">
        <v>392</v>
      </c>
      <c r="EF27" s="660" t="s">
        <v>393</v>
      </c>
      <c r="EG27" s="735" t="s">
        <v>392</v>
      </c>
      <c r="EH27" s="660" t="s">
        <v>393</v>
      </c>
      <c r="EI27" s="735" t="s">
        <v>392</v>
      </c>
      <c r="EJ27" s="660" t="s">
        <v>393</v>
      </c>
      <c r="EK27" s="735" t="s">
        <v>392</v>
      </c>
      <c r="EL27" s="660" t="s">
        <v>393</v>
      </c>
      <c r="EM27" s="735" t="s">
        <v>392</v>
      </c>
      <c r="EN27" s="660" t="s">
        <v>393</v>
      </c>
      <c r="EO27" s="735" t="s">
        <v>392</v>
      </c>
      <c r="EP27" s="660" t="s">
        <v>393</v>
      </c>
      <c r="EQ27" s="735" t="s">
        <v>392</v>
      </c>
      <c r="ER27" s="660" t="s">
        <v>393</v>
      </c>
      <c r="ES27" s="735" t="s">
        <v>392</v>
      </c>
      <c r="ET27" s="660" t="s">
        <v>393</v>
      </c>
      <c r="EU27" s="735" t="s">
        <v>392</v>
      </c>
      <c r="EV27" s="660" t="s">
        <v>393</v>
      </c>
      <c r="EW27" s="735" t="s">
        <v>392</v>
      </c>
      <c r="EX27" s="660" t="s">
        <v>393</v>
      </c>
      <c r="EY27" s="735" t="s">
        <v>392</v>
      </c>
      <c r="EZ27" s="660" t="s">
        <v>393</v>
      </c>
      <c r="FA27" s="735" t="s">
        <v>392</v>
      </c>
      <c r="FB27" s="660" t="s">
        <v>393</v>
      </c>
      <c r="FC27" s="735" t="s">
        <v>392</v>
      </c>
      <c r="FD27" s="660" t="s">
        <v>393</v>
      </c>
      <c r="FE27" s="735" t="s">
        <v>392</v>
      </c>
      <c r="FF27" s="660" t="s">
        <v>393</v>
      </c>
      <c r="FG27" s="735" t="s">
        <v>392</v>
      </c>
      <c r="FH27" s="662" t="s">
        <v>393</v>
      </c>
      <c r="FI27" s="739"/>
      <c r="FJ27" s="539" t="s">
        <v>391</v>
      </c>
      <c r="FK27" s="736"/>
      <c r="FL27" s="737"/>
      <c r="FM27" s="738"/>
      <c r="FN27" s="737"/>
      <c r="FO27" s="737"/>
      <c r="FP27" s="740" t="s">
        <v>394</v>
      </c>
      <c r="FQ27" s="666" t="s">
        <v>392</v>
      </c>
      <c r="FR27" s="660" t="s">
        <v>395</v>
      </c>
      <c r="FS27" s="741" t="s">
        <v>394</v>
      </c>
      <c r="FT27" s="666" t="s">
        <v>392</v>
      </c>
      <c r="FU27" s="668" t="s">
        <v>395</v>
      </c>
      <c r="FV27" s="590"/>
      <c r="FW27" s="591"/>
      <c r="FX27" s="592"/>
      <c r="FY27" s="593"/>
      <c r="FZ27" s="594"/>
      <c r="GA27" s="595"/>
      <c r="GB27" s="596"/>
      <c r="GC27" s="597"/>
      <c r="GD27" s="596"/>
      <c r="GE27" s="598"/>
      <c r="GF27" s="742"/>
      <c r="GG27" s="743"/>
      <c r="GH27" s="743"/>
      <c r="GI27" s="743"/>
      <c r="GJ27" s="612"/>
      <c r="GK27" s="527" t="s">
        <v>466</v>
      </c>
      <c r="GL27" s="612"/>
      <c r="GM27" s="612"/>
      <c r="GN27" s="612"/>
      <c r="GO27" s="414"/>
      <c r="GP27" s="744">
        <v>27.3</v>
      </c>
      <c r="GQ27" s="414" t="s">
        <v>467</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396</v>
      </c>
      <c r="C28" s="746"/>
      <c r="D28" s="747">
        <v>69</v>
      </c>
      <c r="E28" s="748">
        <v>4</v>
      </c>
      <c r="F28" s="749" t="s">
        <v>397</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396</v>
      </c>
      <c r="BF28" s="746"/>
      <c r="BG28" s="747">
        <v>69</v>
      </c>
      <c r="BH28" s="748">
        <v>4</v>
      </c>
      <c r="BI28" s="749" t="s">
        <v>397</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396</v>
      </c>
      <c r="DI28" s="746"/>
      <c r="DJ28" s="747">
        <v>69</v>
      </c>
      <c r="DK28" s="748">
        <v>4</v>
      </c>
      <c r="DL28" s="749" t="s">
        <v>397</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396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468</v>
      </c>
      <c r="GL28" s="414"/>
      <c r="GM28" s="414"/>
      <c r="GN28" s="414"/>
      <c r="GO28" s="527"/>
      <c r="GP28" s="744">
        <v>26</v>
      </c>
      <c r="GQ28" s="414" t="s">
        <v>467</v>
      </c>
      <c r="GR28" s="726"/>
      <c r="GS28" s="527"/>
      <c r="GT28" s="756"/>
      <c r="GU28" s="577" t="s">
        <v>469</v>
      </c>
      <c r="GV28" s="606"/>
      <c r="GW28" s="527"/>
      <c r="GX28" s="526"/>
      <c r="GY28" s="410"/>
      <c r="GZ28" s="612"/>
      <c r="HA28" s="527"/>
      <c r="HB28" s="527"/>
      <c r="HC28" s="527"/>
      <c r="HD28" s="527"/>
      <c r="HE28" s="416"/>
      <c r="HF28" s="416"/>
      <c r="HG28" s="416"/>
      <c r="HH28" s="416"/>
    </row>
    <row r="29" spans="1:218" ht="20.100000000000001" customHeight="1" thickBot="1">
      <c r="A29" s="549"/>
      <c r="B29" s="757" t="s">
        <v>398</v>
      </c>
      <c r="C29" s="758"/>
      <c r="D29" s="759">
        <v>15</v>
      </c>
      <c r="E29" s="760">
        <v>13.2</v>
      </c>
      <c r="F29" s="761" t="s">
        <v>397</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398</v>
      </c>
      <c r="BF29" s="758"/>
      <c r="BG29" s="759">
        <v>15</v>
      </c>
      <c r="BH29" s="760">
        <v>13.2</v>
      </c>
      <c r="BI29" s="761" t="s">
        <v>397</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398</v>
      </c>
      <c r="DI29" s="758"/>
      <c r="DJ29" s="759">
        <v>15</v>
      </c>
      <c r="DK29" s="760">
        <v>13.2</v>
      </c>
      <c r="DL29" s="761" t="s">
        <v>397</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398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470</v>
      </c>
      <c r="GL29" s="767"/>
      <c r="GM29" s="767"/>
      <c r="GN29" s="767"/>
      <c r="GO29" s="612"/>
      <c r="GP29" s="744">
        <v>1.3000000000000007</v>
      </c>
      <c r="GQ29" s="414" t="s">
        <v>467</v>
      </c>
      <c r="GR29" s="768"/>
      <c r="GS29" s="527"/>
      <c r="GT29" s="756"/>
      <c r="GU29" s="577" t="s">
        <v>471</v>
      </c>
      <c r="GV29" s="606"/>
      <c r="GW29" s="527"/>
      <c r="GX29" s="526"/>
      <c r="GY29" s="410"/>
      <c r="GZ29" s="527"/>
      <c r="HA29" s="577"/>
      <c r="HB29" s="577"/>
      <c r="HC29" s="576"/>
      <c r="HD29" s="527"/>
      <c r="HE29" s="416"/>
      <c r="HF29" s="416"/>
    </row>
    <row r="30" spans="1:218" ht="20.100000000000001" customHeight="1">
      <c r="A30" s="549"/>
      <c r="B30" s="757" t="s">
        <v>399</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399</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399</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472</v>
      </c>
      <c r="GL30" s="767"/>
      <c r="GM30" s="767"/>
      <c r="GN30" s="767"/>
      <c r="GO30" s="527"/>
      <c r="GP30" s="771">
        <v>0</v>
      </c>
      <c r="GQ30" s="414"/>
      <c r="GR30" s="414"/>
      <c r="GS30" s="527"/>
      <c r="GT30" s="756"/>
      <c r="GU30" s="772" t="s">
        <v>366</v>
      </c>
      <c r="GV30" s="773"/>
      <c r="GW30" s="774" t="s">
        <v>473</v>
      </c>
      <c r="GX30" s="774"/>
      <c r="GY30" s="774"/>
      <c r="GZ30" s="774"/>
      <c r="HA30" s="775"/>
      <c r="HB30" s="776" t="s">
        <v>474</v>
      </c>
      <c r="HC30" s="576"/>
      <c r="HD30" s="559"/>
      <c r="HE30" s="416"/>
      <c r="HF30" s="416"/>
    </row>
    <row r="31" spans="1:218" ht="20.100000000000001" customHeight="1">
      <c r="A31" s="549"/>
      <c r="B31" s="777" t="s">
        <v>400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475</v>
      </c>
      <c r="GL31" s="414"/>
      <c r="GM31" s="577"/>
      <c r="GN31" s="414"/>
      <c r="GO31" s="577"/>
      <c r="GP31" s="771">
        <v>0</v>
      </c>
      <c r="GQ31" s="414"/>
      <c r="GR31" s="414"/>
      <c r="GS31" s="577"/>
      <c r="GT31" s="756"/>
      <c r="GU31" s="772"/>
      <c r="GV31" s="773"/>
      <c r="GW31" s="782" t="s">
        <v>476</v>
      </c>
      <c r="GX31" s="783" t="s">
        <v>477</v>
      </c>
      <c r="GY31" s="784" t="s">
        <v>478</v>
      </c>
      <c r="GZ31" s="785" t="s">
        <v>479</v>
      </c>
      <c r="HA31" s="785" t="s">
        <v>455</v>
      </c>
      <c r="HB31" s="786"/>
      <c r="HC31" s="576"/>
      <c r="HD31" s="559"/>
      <c r="HE31" s="416"/>
      <c r="HF31" s="416"/>
    </row>
    <row r="32" spans="1:218" ht="20.100000000000001" customHeight="1">
      <c r="A32" s="549"/>
      <c r="B32" s="787" t="s">
        <v>401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402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402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402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480</v>
      </c>
      <c r="GL33" s="576"/>
      <c r="GM33" s="527"/>
      <c r="GN33" s="576"/>
      <c r="GO33" s="527"/>
      <c r="GP33" s="527"/>
      <c r="GQ33" s="527"/>
      <c r="GR33" s="576"/>
      <c r="GS33" s="527"/>
      <c r="GT33" s="756"/>
      <c r="GU33" s="804">
        <v>205</v>
      </c>
      <c r="GV33" s="805"/>
      <c r="GW33" s="806">
        <v>0</v>
      </c>
      <c r="GX33" s="807">
        <v>20.079999999999998</v>
      </c>
      <c r="GY33" s="807">
        <v>26.77</v>
      </c>
      <c r="GZ33" s="807">
        <v>0</v>
      </c>
      <c r="HA33" s="807">
        <v>46.849999999999994</v>
      </c>
      <c r="HB33" s="808">
        <v>13.2</v>
      </c>
      <c r="HC33" s="414"/>
      <c r="HD33" s="645"/>
      <c r="HE33" s="416"/>
      <c r="HF33" s="416"/>
    </row>
    <row r="34" spans="1:219" ht="20.100000000000001" customHeight="1">
      <c r="A34" s="809" t="s">
        <v>403</v>
      </c>
      <c r="B34" s="736"/>
      <c r="C34" s="810"/>
      <c r="D34" s="811"/>
      <c r="E34" s="810"/>
      <c r="F34" s="812"/>
      <c r="G34" s="733" t="s">
        <v>404</v>
      </c>
      <c r="H34" s="660" t="s">
        <v>393</v>
      </c>
      <c r="I34" s="734" t="s">
        <v>404</v>
      </c>
      <c r="J34" s="660" t="s">
        <v>393</v>
      </c>
      <c r="K34" s="735" t="s">
        <v>404</v>
      </c>
      <c r="L34" s="660" t="s">
        <v>393</v>
      </c>
      <c r="M34" s="735" t="s">
        <v>404</v>
      </c>
      <c r="N34" s="660" t="s">
        <v>393</v>
      </c>
      <c r="O34" s="735" t="s">
        <v>404</v>
      </c>
      <c r="P34" s="660" t="s">
        <v>393</v>
      </c>
      <c r="Q34" s="735" t="s">
        <v>404</v>
      </c>
      <c r="R34" s="660" t="s">
        <v>393</v>
      </c>
      <c r="S34" s="735" t="s">
        <v>404</v>
      </c>
      <c r="T34" s="660" t="s">
        <v>393</v>
      </c>
      <c r="U34" s="735" t="s">
        <v>404</v>
      </c>
      <c r="V34" s="660" t="s">
        <v>393</v>
      </c>
      <c r="W34" s="735" t="s">
        <v>404</v>
      </c>
      <c r="X34" s="660" t="s">
        <v>393</v>
      </c>
      <c r="Y34" s="735" t="s">
        <v>404</v>
      </c>
      <c r="Z34" s="660" t="s">
        <v>393</v>
      </c>
      <c r="AA34" s="735" t="s">
        <v>404</v>
      </c>
      <c r="AB34" s="660" t="s">
        <v>393</v>
      </c>
      <c r="AC34" s="735" t="s">
        <v>404</v>
      </c>
      <c r="AD34" s="660" t="s">
        <v>393</v>
      </c>
      <c r="AE34" s="735" t="s">
        <v>404</v>
      </c>
      <c r="AF34" s="660" t="s">
        <v>393</v>
      </c>
      <c r="AG34" s="735" t="s">
        <v>404</v>
      </c>
      <c r="AH34" s="660" t="s">
        <v>393</v>
      </c>
      <c r="AI34" s="735" t="s">
        <v>404</v>
      </c>
      <c r="AJ34" s="660" t="s">
        <v>393</v>
      </c>
      <c r="AK34" s="735" t="s">
        <v>404</v>
      </c>
      <c r="AL34" s="660" t="s">
        <v>393</v>
      </c>
      <c r="AM34" s="735" t="s">
        <v>404</v>
      </c>
      <c r="AN34" s="660" t="s">
        <v>393</v>
      </c>
      <c r="AO34" s="735" t="s">
        <v>404</v>
      </c>
      <c r="AP34" s="660" t="s">
        <v>393</v>
      </c>
      <c r="AQ34" s="735" t="s">
        <v>404</v>
      </c>
      <c r="AR34" s="660" t="s">
        <v>393</v>
      </c>
      <c r="AS34" s="735" t="s">
        <v>404</v>
      </c>
      <c r="AT34" s="660" t="s">
        <v>393</v>
      </c>
      <c r="AU34" s="735" t="s">
        <v>404</v>
      </c>
      <c r="AV34" s="660" t="s">
        <v>393</v>
      </c>
      <c r="AW34" s="735" t="s">
        <v>404</v>
      </c>
      <c r="AX34" s="660" t="s">
        <v>393</v>
      </c>
      <c r="AY34" s="735" t="s">
        <v>404</v>
      </c>
      <c r="AZ34" s="660" t="s">
        <v>393</v>
      </c>
      <c r="BA34" s="735" t="s">
        <v>404</v>
      </c>
      <c r="BB34" s="662" t="s">
        <v>393</v>
      </c>
      <c r="BC34" s="716"/>
      <c r="BD34" s="809" t="s">
        <v>403</v>
      </c>
      <c r="BE34" s="731"/>
      <c r="BF34" s="813"/>
      <c r="BG34" s="814"/>
      <c r="BH34" s="813"/>
      <c r="BI34" s="815"/>
      <c r="BJ34" s="733" t="s">
        <v>404</v>
      </c>
      <c r="BK34" s="660" t="s">
        <v>393</v>
      </c>
      <c r="BL34" s="734" t="s">
        <v>404</v>
      </c>
      <c r="BM34" s="660" t="s">
        <v>393</v>
      </c>
      <c r="BN34" s="735" t="s">
        <v>404</v>
      </c>
      <c r="BO34" s="660" t="s">
        <v>393</v>
      </c>
      <c r="BP34" s="735" t="s">
        <v>404</v>
      </c>
      <c r="BQ34" s="660" t="s">
        <v>393</v>
      </c>
      <c r="BR34" s="735" t="s">
        <v>404</v>
      </c>
      <c r="BS34" s="660" t="s">
        <v>393</v>
      </c>
      <c r="BT34" s="735" t="s">
        <v>404</v>
      </c>
      <c r="BU34" s="660" t="s">
        <v>393</v>
      </c>
      <c r="BV34" s="735" t="s">
        <v>404</v>
      </c>
      <c r="BW34" s="660" t="s">
        <v>393</v>
      </c>
      <c r="BX34" s="735" t="s">
        <v>404</v>
      </c>
      <c r="BY34" s="660" t="s">
        <v>393</v>
      </c>
      <c r="BZ34" s="735" t="s">
        <v>404</v>
      </c>
      <c r="CA34" s="660" t="s">
        <v>393</v>
      </c>
      <c r="CB34" s="735" t="s">
        <v>404</v>
      </c>
      <c r="CC34" s="660" t="s">
        <v>393</v>
      </c>
      <c r="CD34" s="735" t="s">
        <v>404</v>
      </c>
      <c r="CE34" s="660" t="s">
        <v>393</v>
      </c>
      <c r="CF34" s="735" t="s">
        <v>404</v>
      </c>
      <c r="CG34" s="660" t="s">
        <v>393</v>
      </c>
      <c r="CH34" s="735" t="s">
        <v>404</v>
      </c>
      <c r="CI34" s="660" t="s">
        <v>393</v>
      </c>
      <c r="CJ34" s="735" t="s">
        <v>404</v>
      </c>
      <c r="CK34" s="660" t="s">
        <v>393</v>
      </c>
      <c r="CL34" s="735" t="s">
        <v>404</v>
      </c>
      <c r="CM34" s="660" t="s">
        <v>393</v>
      </c>
      <c r="CN34" s="735" t="s">
        <v>404</v>
      </c>
      <c r="CO34" s="660" t="s">
        <v>393</v>
      </c>
      <c r="CP34" s="735" t="s">
        <v>404</v>
      </c>
      <c r="CQ34" s="660" t="s">
        <v>393</v>
      </c>
      <c r="CR34" s="735" t="s">
        <v>404</v>
      </c>
      <c r="CS34" s="660" t="s">
        <v>393</v>
      </c>
      <c r="CT34" s="735" t="s">
        <v>404</v>
      </c>
      <c r="CU34" s="660" t="s">
        <v>393</v>
      </c>
      <c r="CV34" s="735" t="s">
        <v>404</v>
      </c>
      <c r="CW34" s="660" t="s">
        <v>393</v>
      </c>
      <c r="CX34" s="735" t="s">
        <v>404</v>
      </c>
      <c r="CY34" s="660" t="s">
        <v>393</v>
      </c>
      <c r="CZ34" s="735" t="s">
        <v>404</v>
      </c>
      <c r="DA34" s="660" t="s">
        <v>393</v>
      </c>
      <c r="DB34" s="735" t="s">
        <v>404</v>
      </c>
      <c r="DC34" s="660" t="s">
        <v>393</v>
      </c>
      <c r="DD34" s="735" t="s">
        <v>404</v>
      </c>
      <c r="DE34" s="662" t="s">
        <v>393</v>
      </c>
      <c r="DF34" s="716"/>
      <c r="DG34" s="809" t="s">
        <v>403</v>
      </c>
      <c r="DH34" s="731"/>
      <c r="DI34" s="813"/>
      <c r="DJ34" s="814"/>
      <c r="DK34" s="813"/>
      <c r="DL34" s="815"/>
      <c r="DM34" s="733" t="s">
        <v>404</v>
      </c>
      <c r="DN34" s="660" t="s">
        <v>393</v>
      </c>
      <c r="DO34" s="734" t="s">
        <v>404</v>
      </c>
      <c r="DP34" s="660" t="s">
        <v>393</v>
      </c>
      <c r="DQ34" s="735" t="s">
        <v>404</v>
      </c>
      <c r="DR34" s="660" t="s">
        <v>393</v>
      </c>
      <c r="DS34" s="735" t="s">
        <v>404</v>
      </c>
      <c r="DT34" s="660" t="s">
        <v>393</v>
      </c>
      <c r="DU34" s="735" t="s">
        <v>404</v>
      </c>
      <c r="DV34" s="660" t="s">
        <v>393</v>
      </c>
      <c r="DW34" s="735" t="s">
        <v>404</v>
      </c>
      <c r="DX34" s="660" t="s">
        <v>393</v>
      </c>
      <c r="DY34" s="735" t="s">
        <v>404</v>
      </c>
      <c r="DZ34" s="660" t="s">
        <v>393</v>
      </c>
      <c r="EA34" s="735" t="s">
        <v>404</v>
      </c>
      <c r="EB34" s="660" t="s">
        <v>393</v>
      </c>
      <c r="EC34" s="735" t="s">
        <v>404</v>
      </c>
      <c r="ED34" s="660" t="s">
        <v>393</v>
      </c>
      <c r="EE34" s="735" t="s">
        <v>404</v>
      </c>
      <c r="EF34" s="660" t="s">
        <v>393</v>
      </c>
      <c r="EG34" s="735" t="s">
        <v>404</v>
      </c>
      <c r="EH34" s="660" t="s">
        <v>393</v>
      </c>
      <c r="EI34" s="735" t="s">
        <v>404</v>
      </c>
      <c r="EJ34" s="660" t="s">
        <v>393</v>
      </c>
      <c r="EK34" s="735" t="s">
        <v>404</v>
      </c>
      <c r="EL34" s="660" t="s">
        <v>393</v>
      </c>
      <c r="EM34" s="735" t="s">
        <v>404</v>
      </c>
      <c r="EN34" s="660" t="s">
        <v>393</v>
      </c>
      <c r="EO34" s="735" t="s">
        <v>404</v>
      </c>
      <c r="EP34" s="660" t="s">
        <v>393</v>
      </c>
      <c r="EQ34" s="735" t="s">
        <v>404</v>
      </c>
      <c r="ER34" s="660" t="s">
        <v>393</v>
      </c>
      <c r="ES34" s="735" t="s">
        <v>404</v>
      </c>
      <c r="ET34" s="660" t="s">
        <v>393</v>
      </c>
      <c r="EU34" s="735" t="s">
        <v>404</v>
      </c>
      <c r="EV34" s="660" t="s">
        <v>393</v>
      </c>
      <c r="EW34" s="735" t="s">
        <v>404</v>
      </c>
      <c r="EX34" s="660" t="s">
        <v>393</v>
      </c>
      <c r="EY34" s="735" t="s">
        <v>404</v>
      </c>
      <c r="EZ34" s="660" t="s">
        <v>393</v>
      </c>
      <c r="FA34" s="735" t="s">
        <v>404</v>
      </c>
      <c r="FB34" s="660" t="s">
        <v>393</v>
      </c>
      <c r="FC34" s="735" t="s">
        <v>404</v>
      </c>
      <c r="FD34" s="660" t="s">
        <v>393</v>
      </c>
      <c r="FE34" s="735" t="s">
        <v>404</v>
      </c>
      <c r="FF34" s="660" t="s">
        <v>393</v>
      </c>
      <c r="FG34" s="735" t="s">
        <v>404</v>
      </c>
      <c r="FH34" s="662" t="s">
        <v>393</v>
      </c>
      <c r="FI34" s="739"/>
      <c r="FJ34" s="816" t="s">
        <v>403</v>
      </c>
      <c r="FK34" s="731"/>
      <c r="FL34" s="813"/>
      <c r="FM34" s="814"/>
      <c r="FN34" s="813"/>
      <c r="FO34" s="815"/>
      <c r="FP34" s="740" t="s">
        <v>394</v>
      </c>
      <c r="FQ34" s="666" t="s">
        <v>404</v>
      </c>
      <c r="FR34" s="660" t="s">
        <v>395</v>
      </c>
      <c r="FS34" s="741" t="s">
        <v>394</v>
      </c>
      <c r="FT34" s="666" t="s">
        <v>404</v>
      </c>
      <c r="FU34" s="668" t="s">
        <v>395</v>
      </c>
      <c r="FV34" s="590"/>
      <c r="FW34" s="591"/>
      <c r="FX34" s="799"/>
      <c r="FY34" s="593"/>
      <c r="FZ34" s="800"/>
      <c r="GA34" s="595"/>
      <c r="GB34" s="801"/>
      <c r="GC34" s="597"/>
      <c r="GD34" s="801"/>
      <c r="GE34" s="598"/>
      <c r="GF34" s="742"/>
      <c r="GG34" s="743"/>
      <c r="GH34" s="743"/>
      <c r="GI34" s="743"/>
      <c r="GJ34" s="576"/>
      <c r="GK34" s="817" t="s">
        <v>540</v>
      </c>
      <c r="GL34" s="817"/>
      <c r="GM34" s="817"/>
      <c r="GN34" s="817"/>
      <c r="GO34" s="817"/>
      <c r="GP34" s="817"/>
      <c r="GQ34" s="612">
        <v>7</v>
      </c>
      <c r="GR34" s="576" t="s">
        <v>462</v>
      </c>
      <c r="GS34" s="577"/>
      <c r="GT34" s="756"/>
      <c r="GU34" s="818"/>
      <c r="GV34" s="819"/>
      <c r="GW34" s="820"/>
      <c r="GX34" s="630"/>
      <c r="GY34" s="630"/>
      <c r="GZ34" s="630"/>
      <c r="HA34" s="630"/>
      <c r="HB34" s="631"/>
      <c r="HC34" s="527"/>
      <c r="HD34" s="716"/>
      <c r="HE34" s="416"/>
      <c r="HF34" s="416"/>
    </row>
    <row r="35" spans="1:219" ht="20.100000000000001" customHeight="1">
      <c r="A35" s="821"/>
      <c r="B35" s="463" t="s">
        <v>405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321</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321</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321</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482</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541</v>
      </c>
      <c r="GL36" s="817"/>
      <c r="GM36" s="817"/>
      <c r="GN36" s="817"/>
      <c r="GO36" s="817"/>
      <c r="GP36" s="817"/>
      <c r="GQ36" s="612">
        <v>10</v>
      </c>
      <c r="GR36" s="576" t="s">
        <v>462</v>
      </c>
      <c r="GS36" s="527"/>
      <c r="GT36" s="756"/>
      <c r="GU36" s="818"/>
      <c r="GV36" s="819"/>
      <c r="GW36" s="820"/>
      <c r="GX36" s="630"/>
      <c r="GY36" s="630"/>
      <c r="GZ36" s="630"/>
      <c r="HA36" s="630"/>
      <c r="HB36" s="631"/>
      <c r="HC36" s="527"/>
      <c r="HD36" s="645"/>
      <c r="HE36" s="416"/>
      <c r="HF36" s="416"/>
    </row>
    <row r="37" spans="1:219" ht="24" customHeight="1">
      <c r="A37" s="842" t="s">
        <v>407</v>
      </c>
      <c r="B37" s="843"/>
      <c r="C37" s="844" t="s">
        <v>408</v>
      </c>
      <c r="D37" s="845"/>
      <c r="E37" s="846" t="s">
        <v>409</v>
      </c>
      <c r="F37" s="847"/>
      <c r="G37" s="659" t="s">
        <v>404</v>
      </c>
      <c r="H37" s="660" t="s">
        <v>410</v>
      </c>
      <c r="I37" s="661" t="s">
        <v>404</v>
      </c>
      <c r="J37" s="660" t="s">
        <v>411</v>
      </c>
      <c r="K37" s="661" t="s">
        <v>404</v>
      </c>
      <c r="L37" s="660" t="s">
        <v>411</v>
      </c>
      <c r="M37" s="661" t="s">
        <v>404</v>
      </c>
      <c r="N37" s="660" t="s">
        <v>411</v>
      </c>
      <c r="O37" s="661" t="s">
        <v>404</v>
      </c>
      <c r="P37" s="660" t="s">
        <v>411</v>
      </c>
      <c r="Q37" s="661" t="s">
        <v>404</v>
      </c>
      <c r="R37" s="660" t="s">
        <v>411</v>
      </c>
      <c r="S37" s="661" t="s">
        <v>404</v>
      </c>
      <c r="T37" s="660" t="s">
        <v>411</v>
      </c>
      <c r="U37" s="661" t="s">
        <v>404</v>
      </c>
      <c r="V37" s="660" t="s">
        <v>411</v>
      </c>
      <c r="W37" s="661" t="s">
        <v>404</v>
      </c>
      <c r="X37" s="660" t="s">
        <v>411</v>
      </c>
      <c r="Y37" s="661" t="s">
        <v>404</v>
      </c>
      <c r="Z37" s="660" t="s">
        <v>411</v>
      </c>
      <c r="AA37" s="661" t="s">
        <v>404</v>
      </c>
      <c r="AB37" s="660" t="s">
        <v>411</v>
      </c>
      <c r="AC37" s="661" t="s">
        <v>404</v>
      </c>
      <c r="AD37" s="660" t="s">
        <v>411</v>
      </c>
      <c r="AE37" s="661" t="s">
        <v>404</v>
      </c>
      <c r="AF37" s="660" t="s">
        <v>411</v>
      </c>
      <c r="AG37" s="661" t="s">
        <v>404</v>
      </c>
      <c r="AH37" s="660" t="s">
        <v>411</v>
      </c>
      <c r="AI37" s="661" t="s">
        <v>404</v>
      </c>
      <c r="AJ37" s="660" t="s">
        <v>411</v>
      </c>
      <c r="AK37" s="661" t="s">
        <v>404</v>
      </c>
      <c r="AL37" s="660" t="s">
        <v>411</v>
      </c>
      <c r="AM37" s="661" t="s">
        <v>404</v>
      </c>
      <c r="AN37" s="660" t="s">
        <v>411</v>
      </c>
      <c r="AO37" s="661" t="s">
        <v>404</v>
      </c>
      <c r="AP37" s="660" t="s">
        <v>411</v>
      </c>
      <c r="AQ37" s="661" t="s">
        <v>404</v>
      </c>
      <c r="AR37" s="660" t="s">
        <v>411</v>
      </c>
      <c r="AS37" s="661" t="s">
        <v>404</v>
      </c>
      <c r="AT37" s="660" t="s">
        <v>411</v>
      </c>
      <c r="AU37" s="661" t="s">
        <v>404</v>
      </c>
      <c r="AV37" s="660" t="s">
        <v>411</v>
      </c>
      <c r="AW37" s="661" t="s">
        <v>404</v>
      </c>
      <c r="AX37" s="660" t="s">
        <v>411</v>
      </c>
      <c r="AY37" s="661" t="s">
        <v>404</v>
      </c>
      <c r="AZ37" s="660" t="s">
        <v>411</v>
      </c>
      <c r="BA37" s="661" t="s">
        <v>404</v>
      </c>
      <c r="BB37" s="662" t="s">
        <v>411</v>
      </c>
      <c r="BC37" s="716"/>
      <c r="BD37" s="842" t="s">
        <v>407</v>
      </c>
      <c r="BE37" s="843"/>
      <c r="BF37" s="844" t="s">
        <v>408</v>
      </c>
      <c r="BG37" s="845"/>
      <c r="BH37" s="846" t="s">
        <v>409</v>
      </c>
      <c r="BI37" s="847"/>
      <c r="BJ37" s="659" t="s">
        <v>404</v>
      </c>
      <c r="BK37" s="660" t="s">
        <v>410</v>
      </c>
      <c r="BL37" s="661" t="s">
        <v>404</v>
      </c>
      <c r="BM37" s="660" t="s">
        <v>411</v>
      </c>
      <c r="BN37" s="661" t="s">
        <v>404</v>
      </c>
      <c r="BO37" s="660" t="s">
        <v>411</v>
      </c>
      <c r="BP37" s="661" t="s">
        <v>404</v>
      </c>
      <c r="BQ37" s="660" t="s">
        <v>411</v>
      </c>
      <c r="BR37" s="661" t="s">
        <v>404</v>
      </c>
      <c r="BS37" s="660" t="s">
        <v>411</v>
      </c>
      <c r="BT37" s="661" t="s">
        <v>404</v>
      </c>
      <c r="BU37" s="660" t="s">
        <v>411</v>
      </c>
      <c r="BV37" s="661" t="s">
        <v>404</v>
      </c>
      <c r="BW37" s="660" t="s">
        <v>411</v>
      </c>
      <c r="BX37" s="661" t="s">
        <v>404</v>
      </c>
      <c r="BY37" s="660" t="s">
        <v>411</v>
      </c>
      <c r="BZ37" s="661" t="s">
        <v>404</v>
      </c>
      <c r="CA37" s="660" t="s">
        <v>411</v>
      </c>
      <c r="CB37" s="661" t="s">
        <v>404</v>
      </c>
      <c r="CC37" s="660" t="s">
        <v>411</v>
      </c>
      <c r="CD37" s="661" t="s">
        <v>404</v>
      </c>
      <c r="CE37" s="660" t="s">
        <v>411</v>
      </c>
      <c r="CF37" s="661" t="s">
        <v>404</v>
      </c>
      <c r="CG37" s="660" t="s">
        <v>411</v>
      </c>
      <c r="CH37" s="661" t="s">
        <v>404</v>
      </c>
      <c r="CI37" s="660" t="s">
        <v>411</v>
      </c>
      <c r="CJ37" s="661" t="s">
        <v>404</v>
      </c>
      <c r="CK37" s="660" t="s">
        <v>411</v>
      </c>
      <c r="CL37" s="661" t="s">
        <v>404</v>
      </c>
      <c r="CM37" s="660" t="s">
        <v>411</v>
      </c>
      <c r="CN37" s="661" t="s">
        <v>404</v>
      </c>
      <c r="CO37" s="660" t="s">
        <v>411</v>
      </c>
      <c r="CP37" s="661" t="s">
        <v>404</v>
      </c>
      <c r="CQ37" s="660" t="s">
        <v>411</v>
      </c>
      <c r="CR37" s="661" t="s">
        <v>404</v>
      </c>
      <c r="CS37" s="660" t="s">
        <v>411</v>
      </c>
      <c r="CT37" s="661" t="s">
        <v>404</v>
      </c>
      <c r="CU37" s="660" t="s">
        <v>411</v>
      </c>
      <c r="CV37" s="661" t="s">
        <v>404</v>
      </c>
      <c r="CW37" s="660" t="s">
        <v>411</v>
      </c>
      <c r="CX37" s="661" t="s">
        <v>404</v>
      </c>
      <c r="CY37" s="660" t="s">
        <v>411</v>
      </c>
      <c r="CZ37" s="661" t="s">
        <v>404</v>
      </c>
      <c r="DA37" s="660" t="s">
        <v>411</v>
      </c>
      <c r="DB37" s="661" t="s">
        <v>404</v>
      </c>
      <c r="DC37" s="660" t="s">
        <v>411</v>
      </c>
      <c r="DD37" s="661" t="s">
        <v>404</v>
      </c>
      <c r="DE37" s="662" t="s">
        <v>411</v>
      </c>
      <c r="DF37" s="716"/>
      <c r="DG37" s="842" t="s">
        <v>407</v>
      </c>
      <c r="DH37" s="843"/>
      <c r="DI37" s="844" t="s">
        <v>408</v>
      </c>
      <c r="DJ37" s="845"/>
      <c r="DK37" s="846" t="s">
        <v>409</v>
      </c>
      <c r="DL37" s="847"/>
      <c r="DM37" s="659" t="s">
        <v>404</v>
      </c>
      <c r="DN37" s="660" t="s">
        <v>410</v>
      </c>
      <c r="DO37" s="661" t="s">
        <v>404</v>
      </c>
      <c r="DP37" s="660" t="s">
        <v>411</v>
      </c>
      <c r="DQ37" s="661" t="s">
        <v>404</v>
      </c>
      <c r="DR37" s="660" t="s">
        <v>411</v>
      </c>
      <c r="DS37" s="661" t="s">
        <v>404</v>
      </c>
      <c r="DT37" s="660" t="s">
        <v>411</v>
      </c>
      <c r="DU37" s="661" t="s">
        <v>404</v>
      </c>
      <c r="DV37" s="660" t="s">
        <v>411</v>
      </c>
      <c r="DW37" s="661" t="s">
        <v>404</v>
      </c>
      <c r="DX37" s="660" t="s">
        <v>411</v>
      </c>
      <c r="DY37" s="661" t="s">
        <v>404</v>
      </c>
      <c r="DZ37" s="660" t="s">
        <v>411</v>
      </c>
      <c r="EA37" s="661" t="s">
        <v>404</v>
      </c>
      <c r="EB37" s="660" t="s">
        <v>411</v>
      </c>
      <c r="EC37" s="661" t="s">
        <v>404</v>
      </c>
      <c r="ED37" s="660" t="s">
        <v>411</v>
      </c>
      <c r="EE37" s="661" t="s">
        <v>404</v>
      </c>
      <c r="EF37" s="660" t="s">
        <v>411</v>
      </c>
      <c r="EG37" s="661" t="s">
        <v>404</v>
      </c>
      <c r="EH37" s="660" t="s">
        <v>411</v>
      </c>
      <c r="EI37" s="661" t="s">
        <v>404</v>
      </c>
      <c r="EJ37" s="660" t="s">
        <v>411</v>
      </c>
      <c r="EK37" s="661" t="s">
        <v>404</v>
      </c>
      <c r="EL37" s="660" t="s">
        <v>411</v>
      </c>
      <c r="EM37" s="661" t="s">
        <v>404</v>
      </c>
      <c r="EN37" s="660" t="s">
        <v>411</v>
      </c>
      <c r="EO37" s="661" t="s">
        <v>404</v>
      </c>
      <c r="EP37" s="660" t="s">
        <v>411</v>
      </c>
      <c r="EQ37" s="661" t="s">
        <v>404</v>
      </c>
      <c r="ER37" s="660" t="s">
        <v>411</v>
      </c>
      <c r="ES37" s="661" t="s">
        <v>404</v>
      </c>
      <c r="ET37" s="660" t="s">
        <v>411</v>
      </c>
      <c r="EU37" s="661" t="s">
        <v>404</v>
      </c>
      <c r="EV37" s="660" t="s">
        <v>411</v>
      </c>
      <c r="EW37" s="661" t="s">
        <v>404</v>
      </c>
      <c r="EX37" s="660" t="s">
        <v>411</v>
      </c>
      <c r="EY37" s="661" t="s">
        <v>404</v>
      </c>
      <c r="EZ37" s="660" t="s">
        <v>411</v>
      </c>
      <c r="FA37" s="661" t="s">
        <v>404</v>
      </c>
      <c r="FB37" s="660" t="s">
        <v>411</v>
      </c>
      <c r="FC37" s="661" t="s">
        <v>404</v>
      </c>
      <c r="FD37" s="660" t="s">
        <v>411</v>
      </c>
      <c r="FE37" s="661" t="s">
        <v>404</v>
      </c>
      <c r="FF37" s="660" t="s">
        <v>411</v>
      </c>
      <c r="FG37" s="661" t="s">
        <v>404</v>
      </c>
      <c r="FH37" s="662" t="s">
        <v>411</v>
      </c>
      <c r="FI37" s="739"/>
      <c r="FJ37" s="816" t="s">
        <v>407</v>
      </c>
      <c r="FK37" s="843"/>
      <c r="FL37" s="844" t="s">
        <v>408</v>
      </c>
      <c r="FM37" s="845"/>
      <c r="FN37" s="846" t="s">
        <v>409</v>
      </c>
      <c r="FO37" s="847"/>
      <c r="FP37" s="665"/>
      <c r="FQ37" s="848" t="s">
        <v>412</v>
      </c>
      <c r="FR37" s="660" t="s">
        <v>411</v>
      </c>
      <c r="FS37" s="667"/>
      <c r="FT37" s="848" t="s">
        <v>412</v>
      </c>
      <c r="FU37" s="668" t="s">
        <v>411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260</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260</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260</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484</v>
      </c>
      <c r="GL38" s="410"/>
      <c r="GM38" s="414"/>
      <c r="GN38" s="410"/>
      <c r="GO38" s="414"/>
      <c r="GP38" s="414"/>
      <c r="GQ38" s="414"/>
      <c r="GR38" s="414"/>
      <c r="GS38" s="577"/>
      <c r="GT38" s="850"/>
      <c r="GU38" s="861" t="s">
        <v>455</v>
      </c>
      <c r="GV38" s="862"/>
      <c r="GW38" s="862"/>
      <c r="GX38" s="862"/>
      <c r="GY38" s="862"/>
      <c r="GZ38" s="863"/>
      <c r="HA38" s="630">
        <v>46.849999999999994</v>
      </c>
      <c r="HB38" s="864">
        <v>13.2</v>
      </c>
      <c r="HC38" s="527"/>
      <c r="HD38" s="527"/>
      <c r="HE38" s="388"/>
      <c r="HF38" s="388"/>
      <c r="HK38" s="416"/>
    </row>
    <row r="39" spans="1:219" ht="20.100000000000001" customHeight="1">
      <c r="A39" s="821"/>
      <c r="B39" s="865" t="s">
        <v>414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267</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267</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267</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485</v>
      </c>
      <c r="GN39" s="875"/>
      <c r="GO39" s="876" t="s">
        <v>486</v>
      </c>
      <c r="GP39" s="875"/>
      <c r="GQ39" s="876" t="s">
        <v>487</v>
      </c>
      <c r="GR39" s="877"/>
      <c r="GS39" s="414"/>
      <c r="GT39" s="682"/>
      <c r="GU39" s="527" t="s">
        <v>488</v>
      </c>
      <c r="GV39" s="527"/>
      <c r="GW39" s="527"/>
      <c r="GX39" s="527"/>
      <c r="GY39" s="527"/>
      <c r="GZ39" s="527"/>
      <c r="HA39" s="683">
        <v>3.55</v>
      </c>
      <c r="HB39" s="576"/>
      <c r="HC39" s="527"/>
      <c r="HD39" s="559"/>
    </row>
    <row r="40" spans="1:219" ht="20.100000000000001" customHeight="1">
      <c r="A40" s="878"/>
      <c r="B40" s="639"/>
      <c r="C40" s="639"/>
      <c r="D40" s="640" t="s">
        <v>415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511</v>
      </c>
      <c r="GV40" s="527"/>
      <c r="GW40" s="527"/>
      <c r="GX40" s="527"/>
      <c r="GY40" s="527"/>
      <c r="GZ40" s="527"/>
      <c r="HA40" s="883">
        <v>60.1</v>
      </c>
      <c r="HB40" s="414"/>
      <c r="HC40" s="527"/>
      <c r="HD40" s="577"/>
      <c r="HK40" s="416"/>
    </row>
    <row r="41" spans="1:219" ht="20.100000000000001" customHeight="1">
      <c r="A41" s="851" t="s">
        <v>416</v>
      </c>
      <c r="B41" s="731"/>
      <c r="C41" s="884"/>
      <c r="D41" s="884"/>
      <c r="E41" s="884"/>
      <c r="F41" s="885"/>
      <c r="G41" s="733"/>
      <c r="H41" s="660" t="s">
        <v>393</v>
      </c>
      <c r="I41" s="734"/>
      <c r="J41" s="660" t="s">
        <v>393</v>
      </c>
      <c r="K41" s="735"/>
      <c r="L41" s="660" t="s">
        <v>393</v>
      </c>
      <c r="M41" s="735"/>
      <c r="N41" s="660" t="s">
        <v>393</v>
      </c>
      <c r="O41" s="735"/>
      <c r="P41" s="660" t="s">
        <v>393</v>
      </c>
      <c r="Q41" s="735"/>
      <c r="R41" s="660" t="s">
        <v>393</v>
      </c>
      <c r="S41" s="735"/>
      <c r="T41" s="660" t="s">
        <v>393</v>
      </c>
      <c r="U41" s="735"/>
      <c r="V41" s="660" t="s">
        <v>393</v>
      </c>
      <c r="W41" s="735"/>
      <c r="X41" s="660" t="s">
        <v>393</v>
      </c>
      <c r="Y41" s="735" t="s">
        <v>404</v>
      </c>
      <c r="Z41" s="660" t="s">
        <v>393</v>
      </c>
      <c r="AA41" s="735" t="s">
        <v>404</v>
      </c>
      <c r="AB41" s="660" t="s">
        <v>393</v>
      </c>
      <c r="AC41" s="735"/>
      <c r="AD41" s="660" t="s">
        <v>393</v>
      </c>
      <c r="AE41" s="735"/>
      <c r="AF41" s="660" t="s">
        <v>393</v>
      </c>
      <c r="AG41" s="735"/>
      <c r="AH41" s="660" t="s">
        <v>393</v>
      </c>
      <c r="AI41" s="735"/>
      <c r="AJ41" s="660" t="s">
        <v>393</v>
      </c>
      <c r="AK41" s="735"/>
      <c r="AL41" s="660" t="s">
        <v>393</v>
      </c>
      <c r="AM41" s="735"/>
      <c r="AN41" s="660" t="s">
        <v>393</v>
      </c>
      <c r="AO41" s="735"/>
      <c r="AP41" s="660" t="s">
        <v>393</v>
      </c>
      <c r="AQ41" s="735"/>
      <c r="AR41" s="660" t="s">
        <v>393</v>
      </c>
      <c r="AS41" s="735"/>
      <c r="AT41" s="660" t="s">
        <v>393</v>
      </c>
      <c r="AU41" s="735"/>
      <c r="AV41" s="660" t="s">
        <v>393</v>
      </c>
      <c r="AW41" s="735"/>
      <c r="AX41" s="660" t="s">
        <v>393</v>
      </c>
      <c r="AY41" s="735"/>
      <c r="AZ41" s="660" t="s">
        <v>393</v>
      </c>
      <c r="BA41" s="735"/>
      <c r="BB41" s="662" t="s">
        <v>393</v>
      </c>
      <c r="BC41" s="716"/>
      <c r="BD41" s="851" t="s">
        <v>416</v>
      </c>
      <c r="BE41" s="731"/>
      <c r="BF41" s="884"/>
      <c r="BG41" s="884"/>
      <c r="BH41" s="884"/>
      <c r="BI41" s="885"/>
      <c r="BJ41" s="733"/>
      <c r="BK41" s="660" t="s">
        <v>393</v>
      </c>
      <c r="BL41" s="734"/>
      <c r="BM41" s="660" t="s">
        <v>393</v>
      </c>
      <c r="BN41" s="735"/>
      <c r="BO41" s="660" t="s">
        <v>393</v>
      </c>
      <c r="BP41" s="735"/>
      <c r="BQ41" s="660" t="s">
        <v>393</v>
      </c>
      <c r="BR41" s="735"/>
      <c r="BS41" s="660" t="s">
        <v>393</v>
      </c>
      <c r="BT41" s="735"/>
      <c r="BU41" s="660" t="s">
        <v>393</v>
      </c>
      <c r="BV41" s="735"/>
      <c r="BW41" s="660" t="s">
        <v>393</v>
      </c>
      <c r="BX41" s="735"/>
      <c r="BY41" s="660" t="s">
        <v>393</v>
      </c>
      <c r="BZ41" s="735"/>
      <c r="CA41" s="660" t="s">
        <v>393</v>
      </c>
      <c r="CB41" s="735" t="s">
        <v>404</v>
      </c>
      <c r="CC41" s="660" t="s">
        <v>393</v>
      </c>
      <c r="CD41" s="735" t="s">
        <v>404</v>
      </c>
      <c r="CE41" s="660" t="s">
        <v>393</v>
      </c>
      <c r="CF41" s="735"/>
      <c r="CG41" s="660" t="s">
        <v>393</v>
      </c>
      <c r="CH41" s="735"/>
      <c r="CI41" s="660" t="s">
        <v>393</v>
      </c>
      <c r="CJ41" s="735"/>
      <c r="CK41" s="660" t="s">
        <v>393</v>
      </c>
      <c r="CL41" s="735"/>
      <c r="CM41" s="660" t="s">
        <v>393</v>
      </c>
      <c r="CN41" s="735"/>
      <c r="CO41" s="660" t="s">
        <v>393</v>
      </c>
      <c r="CP41" s="735"/>
      <c r="CQ41" s="660" t="s">
        <v>393</v>
      </c>
      <c r="CR41" s="735"/>
      <c r="CS41" s="660" t="s">
        <v>393</v>
      </c>
      <c r="CT41" s="735"/>
      <c r="CU41" s="660" t="s">
        <v>393</v>
      </c>
      <c r="CV41" s="735"/>
      <c r="CW41" s="660" t="s">
        <v>393</v>
      </c>
      <c r="CX41" s="735"/>
      <c r="CY41" s="660" t="s">
        <v>393</v>
      </c>
      <c r="CZ41" s="735"/>
      <c r="DA41" s="660" t="s">
        <v>393</v>
      </c>
      <c r="DB41" s="735"/>
      <c r="DC41" s="660" t="s">
        <v>393</v>
      </c>
      <c r="DD41" s="735"/>
      <c r="DE41" s="662" t="s">
        <v>393</v>
      </c>
      <c r="DF41" s="716"/>
      <c r="DG41" s="851" t="s">
        <v>416</v>
      </c>
      <c r="DH41" s="731"/>
      <c r="DI41" s="884"/>
      <c r="DJ41" s="884"/>
      <c r="DK41" s="884"/>
      <c r="DL41" s="885"/>
      <c r="DM41" s="733"/>
      <c r="DN41" s="660" t="s">
        <v>393</v>
      </c>
      <c r="DO41" s="734"/>
      <c r="DP41" s="660" t="s">
        <v>393</v>
      </c>
      <c r="DQ41" s="735"/>
      <c r="DR41" s="660" t="s">
        <v>393</v>
      </c>
      <c r="DS41" s="735"/>
      <c r="DT41" s="660" t="s">
        <v>393</v>
      </c>
      <c r="DU41" s="735"/>
      <c r="DV41" s="660" t="s">
        <v>393</v>
      </c>
      <c r="DW41" s="735"/>
      <c r="DX41" s="660" t="s">
        <v>393</v>
      </c>
      <c r="DY41" s="735"/>
      <c r="DZ41" s="660" t="s">
        <v>393</v>
      </c>
      <c r="EA41" s="735"/>
      <c r="EB41" s="660" t="s">
        <v>393</v>
      </c>
      <c r="EC41" s="735"/>
      <c r="ED41" s="660" t="s">
        <v>393</v>
      </c>
      <c r="EE41" s="735" t="s">
        <v>404</v>
      </c>
      <c r="EF41" s="660" t="s">
        <v>393</v>
      </c>
      <c r="EG41" s="735" t="s">
        <v>404</v>
      </c>
      <c r="EH41" s="660" t="s">
        <v>393</v>
      </c>
      <c r="EI41" s="735"/>
      <c r="EJ41" s="660" t="s">
        <v>393</v>
      </c>
      <c r="EK41" s="735"/>
      <c r="EL41" s="660" t="s">
        <v>393</v>
      </c>
      <c r="EM41" s="735"/>
      <c r="EN41" s="660" t="s">
        <v>393</v>
      </c>
      <c r="EO41" s="735"/>
      <c r="EP41" s="660" t="s">
        <v>393</v>
      </c>
      <c r="EQ41" s="735"/>
      <c r="ER41" s="660" t="s">
        <v>393</v>
      </c>
      <c r="ES41" s="735"/>
      <c r="ET41" s="660" t="s">
        <v>393</v>
      </c>
      <c r="EU41" s="735"/>
      <c r="EV41" s="660" t="s">
        <v>393</v>
      </c>
      <c r="EW41" s="735"/>
      <c r="EX41" s="660" t="s">
        <v>393</v>
      </c>
      <c r="EY41" s="735"/>
      <c r="EZ41" s="660" t="s">
        <v>393</v>
      </c>
      <c r="FA41" s="735"/>
      <c r="FB41" s="660" t="s">
        <v>393</v>
      </c>
      <c r="FC41" s="735"/>
      <c r="FD41" s="660" t="s">
        <v>393</v>
      </c>
      <c r="FE41" s="735"/>
      <c r="FF41" s="660" t="s">
        <v>393</v>
      </c>
      <c r="FG41" s="735"/>
      <c r="FH41" s="662" t="s">
        <v>393</v>
      </c>
      <c r="FI41" s="739"/>
      <c r="FJ41" s="816" t="s">
        <v>416</v>
      </c>
      <c r="FK41" s="736"/>
      <c r="FL41" s="886"/>
      <c r="FM41" s="886"/>
      <c r="FN41" s="886"/>
      <c r="FO41" s="887"/>
      <c r="FP41" s="740"/>
      <c r="FQ41" s="666"/>
      <c r="FR41" s="660" t="s">
        <v>395</v>
      </c>
      <c r="FS41" s="741"/>
      <c r="FT41" s="666"/>
      <c r="FU41" s="668" t="s">
        <v>395</v>
      </c>
      <c r="FV41" s="590"/>
      <c r="FW41" s="591"/>
      <c r="FX41" s="799"/>
      <c r="FY41" s="593"/>
      <c r="FZ41" s="800"/>
      <c r="GA41" s="595"/>
      <c r="GB41" s="801"/>
      <c r="GC41" s="597"/>
      <c r="GD41" s="801"/>
      <c r="GE41" s="598"/>
      <c r="GF41" s="742"/>
      <c r="GG41" s="743"/>
      <c r="GH41" s="743"/>
      <c r="GI41" s="743"/>
      <c r="GJ41" s="577"/>
      <c r="GK41" s="888" t="s">
        <v>489</v>
      </c>
      <c r="GL41" s="889"/>
      <c r="GM41" s="890" t="s">
        <v>490</v>
      </c>
      <c r="GN41" s="890"/>
      <c r="GO41" s="890" t="s">
        <v>491</v>
      </c>
      <c r="GP41" s="890"/>
      <c r="GQ41" s="890"/>
      <c r="GR41" s="891"/>
      <c r="GS41" s="850"/>
      <c r="GT41" s="682"/>
      <c r="GU41" s="527" t="s">
        <v>572</v>
      </c>
      <c r="GV41" s="527"/>
      <c r="GW41" s="527"/>
      <c r="GX41" s="527"/>
      <c r="GY41" s="527"/>
      <c r="GZ41" s="527"/>
      <c r="HA41" s="883">
        <v>39.4</v>
      </c>
      <c r="HB41" s="414"/>
      <c r="HC41" s="527"/>
      <c r="HD41" s="410"/>
    </row>
    <row r="42" spans="1:219" ht="20.100000000000001" customHeight="1">
      <c r="A42" s="821"/>
      <c r="B42" s="892" t="s">
        <v>417</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417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417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417</v>
      </c>
      <c r="FL42" s="893"/>
      <c r="FM42" s="893"/>
      <c r="FN42" s="894"/>
      <c r="FO42" s="895"/>
      <c r="FP42" s="831"/>
      <c r="FQ42" s="827"/>
      <c r="FR42" s="826">
        <v>1049</v>
      </c>
      <c r="FS42" s="832"/>
      <c r="FT42" s="827"/>
      <c r="FU42" s="798">
        <v>1049</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418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492</v>
      </c>
      <c r="GL43" s="918"/>
      <c r="GM43" s="919" t="s">
        <v>493</v>
      </c>
      <c r="GN43" s="919"/>
      <c r="GO43" s="919" t="s">
        <v>494</v>
      </c>
      <c r="GP43" s="919"/>
      <c r="GQ43" s="919"/>
      <c r="GR43" s="920"/>
      <c r="GS43" s="577"/>
      <c r="GT43" s="606"/>
      <c r="GU43" s="527" t="s">
        <v>464</v>
      </c>
      <c r="GV43" s="414"/>
      <c r="GW43" s="410"/>
      <c r="GX43" s="414"/>
      <c r="GY43" s="414"/>
      <c r="GZ43" s="414"/>
      <c r="HA43" s="410"/>
      <c r="HB43" s="414"/>
      <c r="HC43" s="921"/>
      <c r="HD43" s="416"/>
    </row>
    <row r="44" spans="1:219" ht="20.100000000000001" customHeight="1" thickBot="1">
      <c r="A44" s="922"/>
      <c r="B44" s="639"/>
      <c r="C44" s="639"/>
      <c r="D44" s="640" t="s">
        <v>419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419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419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419</v>
      </c>
      <c r="FN44" s="639"/>
      <c r="FO44" s="639"/>
      <c r="FP44" s="647"/>
      <c r="FQ44" s="836"/>
      <c r="FR44" s="835">
        <v>1049</v>
      </c>
      <c r="FS44" s="840"/>
      <c r="FT44" s="836"/>
      <c r="FU44" s="841">
        <v>1049</v>
      </c>
      <c r="FV44" s="590" t="s">
        <v>322</v>
      </c>
      <c r="FW44" s="591"/>
      <c r="FX44" s="799" t="s">
        <v>323</v>
      </c>
      <c r="FY44" s="593"/>
      <c r="FZ44" s="800" t="s">
        <v>324</v>
      </c>
      <c r="GA44" s="595"/>
      <c r="GB44" s="801" t="s">
        <v>325</v>
      </c>
      <c r="GC44" s="597"/>
      <c r="GD44" s="801" t="s">
        <v>326</v>
      </c>
      <c r="GE44" s="598"/>
      <c r="GF44" s="651"/>
      <c r="GG44" s="652"/>
      <c r="GH44" s="652"/>
      <c r="GI44" s="652"/>
      <c r="GJ44" s="527"/>
      <c r="GK44" s="897"/>
      <c r="GL44" s="898"/>
      <c r="GM44" s="924">
        <v>4.5999999999999996</v>
      </c>
      <c r="GN44" s="924"/>
      <c r="GO44" s="924">
        <v>7</v>
      </c>
      <c r="GP44" s="924"/>
      <c r="GQ44" s="899">
        <v>11.6</v>
      </c>
      <c r="GR44" s="900"/>
      <c r="GS44" s="925"/>
      <c r="GT44" s="926"/>
      <c r="GU44" s="527" t="s">
        <v>495</v>
      </c>
      <c r="GV44" s="612"/>
      <c r="GW44" s="612"/>
      <c r="GX44" s="612"/>
      <c r="GY44" s="414"/>
      <c r="GZ44" s="414"/>
      <c r="HA44" s="744">
        <v>1.5</v>
      </c>
      <c r="HB44" s="414" t="s">
        <v>467</v>
      </c>
      <c r="HC44" s="927"/>
      <c r="HD44" s="416"/>
    </row>
    <row r="45" spans="1:219" ht="20.100000000000001" customHeight="1" thickTop="1">
      <c r="A45" s="928" t="s">
        <v>420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1017</v>
      </c>
      <c r="Y45" s="933"/>
      <c r="Z45" s="932">
        <v>1011</v>
      </c>
      <c r="AA45" s="933"/>
      <c r="AB45" s="932">
        <v>1049</v>
      </c>
      <c r="AC45" s="933"/>
      <c r="AD45" s="932">
        <v>1064</v>
      </c>
      <c r="AE45" s="933"/>
      <c r="AF45" s="932">
        <v>1064</v>
      </c>
      <c r="AG45" s="933"/>
      <c r="AH45" s="932">
        <v>1054</v>
      </c>
      <c r="AI45" s="933"/>
      <c r="AJ45" s="932">
        <v>1028</v>
      </c>
      <c r="AK45" s="933"/>
      <c r="AL45" s="932">
        <v>1011</v>
      </c>
      <c r="AM45" s="933"/>
      <c r="AN45" s="932">
        <v>971</v>
      </c>
      <c r="AO45" s="933"/>
      <c r="AP45" s="932">
        <v>937</v>
      </c>
      <c r="AQ45" s="933"/>
      <c r="AR45" s="932">
        <v>0</v>
      </c>
      <c r="AS45" s="933"/>
      <c r="AT45" s="932">
        <v>0</v>
      </c>
      <c r="AU45" s="933"/>
      <c r="AV45" s="932">
        <v>0</v>
      </c>
      <c r="AW45" s="933"/>
      <c r="AX45" s="932">
        <v>0</v>
      </c>
      <c r="AY45" s="933"/>
      <c r="AZ45" s="932">
        <v>0</v>
      </c>
      <c r="BA45" s="933"/>
      <c r="BB45" s="934">
        <v>0</v>
      </c>
      <c r="BC45" s="645"/>
      <c r="BD45" s="928" t="s">
        <v>420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1076</v>
      </c>
      <c r="CB45" s="933"/>
      <c r="CC45" s="932">
        <v>1065</v>
      </c>
      <c r="CD45" s="933"/>
      <c r="CE45" s="932">
        <v>1102</v>
      </c>
      <c r="CF45" s="933"/>
      <c r="CG45" s="932">
        <v>1098</v>
      </c>
      <c r="CH45" s="933"/>
      <c r="CI45" s="932">
        <v>1076</v>
      </c>
      <c r="CJ45" s="933"/>
      <c r="CK45" s="932">
        <v>1044</v>
      </c>
      <c r="CL45" s="933"/>
      <c r="CM45" s="932">
        <v>1019</v>
      </c>
      <c r="CN45" s="933"/>
      <c r="CO45" s="932">
        <v>996</v>
      </c>
      <c r="CP45" s="933"/>
      <c r="CQ45" s="932">
        <v>966</v>
      </c>
      <c r="CR45" s="933"/>
      <c r="CS45" s="932">
        <v>925</v>
      </c>
      <c r="CT45" s="933"/>
      <c r="CU45" s="932">
        <v>0</v>
      </c>
      <c r="CV45" s="933"/>
      <c r="CW45" s="932">
        <v>0</v>
      </c>
      <c r="CX45" s="933"/>
      <c r="CY45" s="932">
        <v>0</v>
      </c>
      <c r="CZ45" s="933"/>
      <c r="DA45" s="932">
        <v>0</v>
      </c>
      <c r="DB45" s="933"/>
      <c r="DC45" s="932">
        <v>0</v>
      </c>
      <c r="DD45" s="933"/>
      <c r="DE45" s="934">
        <v>0</v>
      </c>
      <c r="DF45" s="645"/>
      <c r="DG45" s="928" t="s">
        <v>420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977</v>
      </c>
      <c r="EE45" s="933"/>
      <c r="EF45" s="932">
        <v>976</v>
      </c>
      <c r="EG45" s="933"/>
      <c r="EH45" s="932">
        <v>1017</v>
      </c>
      <c r="EI45" s="933"/>
      <c r="EJ45" s="932">
        <v>1023</v>
      </c>
      <c r="EK45" s="933"/>
      <c r="EL45" s="932">
        <v>996</v>
      </c>
      <c r="EM45" s="933"/>
      <c r="EN45" s="932">
        <v>960</v>
      </c>
      <c r="EO45" s="933"/>
      <c r="EP45" s="932">
        <v>933</v>
      </c>
      <c r="EQ45" s="933"/>
      <c r="ER45" s="932">
        <v>913</v>
      </c>
      <c r="ES45" s="933"/>
      <c r="ET45" s="932">
        <v>872</v>
      </c>
      <c r="EU45" s="933"/>
      <c r="EV45" s="932">
        <v>828</v>
      </c>
      <c r="EW45" s="933"/>
      <c r="EX45" s="932">
        <v>0</v>
      </c>
      <c r="EY45" s="933"/>
      <c r="EZ45" s="932">
        <v>0</v>
      </c>
      <c r="FA45" s="933"/>
      <c r="FB45" s="932">
        <v>0</v>
      </c>
      <c r="FC45" s="933"/>
      <c r="FD45" s="932">
        <v>0</v>
      </c>
      <c r="FE45" s="933"/>
      <c r="FF45" s="932">
        <v>0</v>
      </c>
      <c r="FG45" s="933"/>
      <c r="FH45" s="934">
        <v>0</v>
      </c>
      <c r="FI45" s="645"/>
      <c r="FJ45" s="928" t="s">
        <v>420</v>
      </c>
      <c r="FK45" s="929"/>
      <c r="FL45" s="929"/>
      <c r="FM45" s="929"/>
      <c r="FN45" s="929"/>
      <c r="FO45" s="930"/>
      <c r="FP45" s="935"/>
      <c r="FQ45" s="936"/>
      <c r="FR45" s="932">
        <v>1986</v>
      </c>
      <c r="FS45" s="937"/>
      <c r="FT45" s="936"/>
      <c r="FU45" s="938">
        <v>2006</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496</v>
      </c>
      <c r="GV45" s="414"/>
      <c r="GW45" s="414"/>
      <c r="GX45" s="414"/>
      <c r="GY45" s="527"/>
      <c r="GZ45" s="726"/>
      <c r="HA45" s="744">
        <v>22</v>
      </c>
      <c r="HB45" s="414" t="s">
        <v>467</v>
      </c>
      <c r="HC45" s="927"/>
      <c r="HD45" s="416"/>
    </row>
    <row r="46" spans="1:219" ht="20.100000000000001" customHeight="1">
      <c r="A46" s="943" t="s">
        <v>421</v>
      </c>
      <c r="B46" s="944"/>
      <c r="C46" s="944"/>
      <c r="D46" s="944"/>
      <c r="E46" s="944"/>
      <c r="F46" s="945"/>
      <c r="G46" s="946" t="s">
        <v>422</v>
      </c>
      <c r="H46" s="947"/>
      <c r="I46" s="948" t="s">
        <v>422</v>
      </c>
      <c r="J46" s="947"/>
      <c r="K46" s="948" t="s">
        <v>422</v>
      </c>
      <c r="L46" s="947"/>
      <c r="M46" s="948" t="s">
        <v>422</v>
      </c>
      <c r="N46" s="947"/>
      <c r="O46" s="948" t="s">
        <v>422</v>
      </c>
      <c r="P46" s="947"/>
      <c r="Q46" s="948" t="s">
        <v>422</v>
      </c>
      <c r="R46" s="947"/>
      <c r="S46" s="948" t="s">
        <v>422</v>
      </c>
      <c r="T46" s="947"/>
      <c r="U46" s="948" t="s">
        <v>422</v>
      </c>
      <c r="V46" s="947"/>
      <c r="W46" s="948" t="s">
        <v>422</v>
      </c>
      <c r="X46" s="947"/>
      <c r="Y46" s="948" t="s">
        <v>422</v>
      </c>
      <c r="Z46" s="947"/>
      <c r="AA46" s="948" t="s">
        <v>422</v>
      </c>
      <c r="AB46" s="947"/>
      <c r="AC46" s="948" t="s">
        <v>422</v>
      </c>
      <c r="AD46" s="947"/>
      <c r="AE46" s="948" t="s">
        <v>422</v>
      </c>
      <c r="AF46" s="947"/>
      <c r="AG46" s="948" t="s">
        <v>422</v>
      </c>
      <c r="AH46" s="947"/>
      <c r="AI46" s="948" t="s">
        <v>422</v>
      </c>
      <c r="AJ46" s="947"/>
      <c r="AK46" s="948" t="s">
        <v>422</v>
      </c>
      <c r="AL46" s="947"/>
      <c r="AM46" s="948" t="s">
        <v>422</v>
      </c>
      <c r="AN46" s="947"/>
      <c r="AO46" s="948" t="s">
        <v>422</v>
      </c>
      <c r="AP46" s="947"/>
      <c r="AQ46" s="948" t="s">
        <v>422</v>
      </c>
      <c r="AR46" s="947"/>
      <c r="AS46" s="948" t="s">
        <v>422</v>
      </c>
      <c r="AT46" s="947"/>
      <c r="AU46" s="948" t="s">
        <v>422</v>
      </c>
      <c r="AV46" s="947"/>
      <c r="AW46" s="948" t="s">
        <v>422</v>
      </c>
      <c r="AX46" s="947"/>
      <c r="AY46" s="948" t="s">
        <v>422</v>
      </c>
      <c r="AZ46" s="949"/>
      <c r="BA46" s="950" t="s">
        <v>422</v>
      </c>
      <c r="BB46" s="951"/>
      <c r="BC46" s="952"/>
      <c r="BD46" s="943" t="s">
        <v>421</v>
      </c>
      <c r="BE46" s="944"/>
      <c r="BF46" s="944"/>
      <c r="BG46" s="944"/>
      <c r="BH46" s="944"/>
      <c r="BI46" s="945"/>
      <c r="BJ46" s="946" t="s">
        <v>422</v>
      </c>
      <c r="BK46" s="947"/>
      <c r="BL46" s="948" t="s">
        <v>422</v>
      </c>
      <c r="BM46" s="947"/>
      <c r="BN46" s="948" t="s">
        <v>422</v>
      </c>
      <c r="BO46" s="947"/>
      <c r="BP46" s="948" t="s">
        <v>422</v>
      </c>
      <c r="BQ46" s="947"/>
      <c r="BR46" s="948" t="s">
        <v>422</v>
      </c>
      <c r="BS46" s="947"/>
      <c r="BT46" s="948" t="s">
        <v>422</v>
      </c>
      <c r="BU46" s="947"/>
      <c r="BV46" s="948" t="s">
        <v>422</v>
      </c>
      <c r="BW46" s="947"/>
      <c r="BX46" s="948" t="s">
        <v>422</v>
      </c>
      <c r="BY46" s="947"/>
      <c r="BZ46" s="948" t="s">
        <v>422</v>
      </c>
      <c r="CA46" s="947"/>
      <c r="CB46" s="948" t="s">
        <v>422</v>
      </c>
      <c r="CC46" s="947"/>
      <c r="CD46" s="948" t="s">
        <v>422</v>
      </c>
      <c r="CE46" s="947"/>
      <c r="CF46" s="948" t="s">
        <v>422</v>
      </c>
      <c r="CG46" s="947"/>
      <c r="CH46" s="948" t="s">
        <v>422</v>
      </c>
      <c r="CI46" s="947"/>
      <c r="CJ46" s="948" t="s">
        <v>422</v>
      </c>
      <c r="CK46" s="947"/>
      <c r="CL46" s="948" t="s">
        <v>422</v>
      </c>
      <c r="CM46" s="947"/>
      <c r="CN46" s="948" t="s">
        <v>422</v>
      </c>
      <c r="CO46" s="947"/>
      <c r="CP46" s="948" t="s">
        <v>422</v>
      </c>
      <c r="CQ46" s="947"/>
      <c r="CR46" s="948" t="s">
        <v>422</v>
      </c>
      <c r="CS46" s="947"/>
      <c r="CT46" s="948" t="s">
        <v>422</v>
      </c>
      <c r="CU46" s="947"/>
      <c r="CV46" s="948" t="s">
        <v>422</v>
      </c>
      <c r="CW46" s="947"/>
      <c r="CX46" s="948" t="s">
        <v>422</v>
      </c>
      <c r="CY46" s="947"/>
      <c r="CZ46" s="948" t="s">
        <v>422</v>
      </c>
      <c r="DA46" s="947"/>
      <c r="DB46" s="948" t="s">
        <v>422</v>
      </c>
      <c r="DC46" s="949"/>
      <c r="DD46" s="950" t="s">
        <v>422</v>
      </c>
      <c r="DE46" s="951"/>
      <c r="DF46" s="952"/>
      <c r="DG46" s="943" t="s">
        <v>421</v>
      </c>
      <c r="DH46" s="944"/>
      <c r="DI46" s="944"/>
      <c r="DJ46" s="944"/>
      <c r="DK46" s="944"/>
      <c r="DL46" s="945"/>
      <c r="DM46" s="946" t="s">
        <v>422</v>
      </c>
      <c r="DN46" s="947"/>
      <c r="DO46" s="948" t="s">
        <v>422</v>
      </c>
      <c r="DP46" s="947"/>
      <c r="DQ46" s="948" t="s">
        <v>422</v>
      </c>
      <c r="DR46" s="947"/>
      <c r="DS46" s="948" t="s">
        <v>422</v>
      </c>
      <c r="DT46" s="947"/>
      <c r="DU46" s="948" t="s">
        <v>422</v>
      </c>
      <c r="DV46" s="947"/>
      <c r="DW46" s="948" t="s">
        <v>422</v>
      </c>
      <c r="DX46" s="947"/>
      <c r="DY46" s="948" t="s">
        <v>422</v>
      </c>
      <c r="DZ46" s="947"/>
      <c r="EA46" s="948" t="s">
        <v>422</v>
      </c>
      <c r="EB46" s="947"/>
      <c r="EC46" s="948" t="s">
        <v>422</v>
      </c>
      <c r="ED46" s="947"/>
      <c r="EE46" s="948" t="s">
        <v>422</v>
      </c>
      <c r="EF46" s="947"/>
      <c r="EG46" s="948" t="s">
        <v>422</v>
      </c>
      <c r="EH46" s="947"/>
      <c r="EI46" s="948" t="s">
        <v>422</v>
      </c>
      <c r="EJ46" s="947"/>
      <c r="EK46" s="948" t="s">
        <v>422</v>
      </c>
      <c r="EL46" s="947"/>
      <c r="EM46" s="948" t="s">
        <v>422</v>
      </c>
      <c r="EN46" s="947"/>
      <c r="EO46" s="948" t="s">
        <v>422</v>
      </c>
      <c r="EP46" s="947"/>
      <c r="EQ46" s="948" t="s">
        <v>422</v>
      </c>
      <c r="ER46" s="947"/>
      <c r="ES46" s="948" t="s">
        <v>422</v>
      </c>
      <c r="ET46" s="947"/>
      <c r="EU46" s="948" t="s">
        <v>422</v>
      </c>
      <c r="EV46" s="947"/>
      <c r="EW46" s="948" t="s">
        <v>422</v>
      </c>
      <c r="EX46" s="947"/>
      <c r="EY46" s="948" t="s">
        <v>422</v>
      </c>
      <c r="EZ46" s="947"/>
      <c r="FA46" s="948" t="s">
        <v>422</v>
      </c>
      <c r="FB46" s="947"/>
      <c r="FC46" s="948" t="s">
        <v>422</v>
      </c>
      <c r="FD46" s="947"/>
      <c r="FE46" s="948" t="s">
        <v>422</v>
      </c>
      <c r="FF46" s="949"/>
      <c r="FG46" s="950" t="s">
        <v>422</v>
      </c>
      <c r="FH46" s="951"/>
      <c r="FI46" s="952"/>
      <c r="FJ46" s="943" t="s">
        <v>423</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497</v>
      </c>
      <c r="GL46" s="414"/>
      <c r="GM46" s="743"/>
      <c r="GN46" s="743"/>
      <c r="GO46" s="743"/>
      <c r="GP46" s="743"/>
      <c r="GQ46" s="743"/>
      <c r="GR46" s="850"/>
      <c r="GS46" s="577"/>
      <c r="GT46" s="756"/>
      <c r="GU46" s="767" t="s">
        <v>498</v>
      </c>
      <c r="GV46" s="767"/>
      <c r="GW46" s="767"/>
      <c r="GX46" s="767"/>
      <c r="GY46" s="612"/>
      <c r="GZ46" s="768"/>
      <c r="HA46" s="744">
        <v>20.5</v>
      </c>
      <c r="HB46" s="414" t="s">
        <v>467</v>
      </c>
      <c r="HC46" s="927"/>
      <c r="HD46" s="416"/>
    </row>
    <row r="47" spans="1:219" ht="20.100000000000001" customHeight="1" thickBot="1">
      <c r="A47" s="959" t="s">
        <v>424</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1068</v>
      </c>
      <c r="Y47" s="965"/>
      <c r="Z47" s="964">
        <v>1062</v>
      </c>
      <c r="AA47" s="965"/>
      <c r="AB47" s="964">
        <v>1101</v>
      </c>
      <c r="AC47" s="965"/>
      <c r="AD47" s="964">
        <v>1117</v>
      </c>
      <c r="AE47" s="965"/>
      <c r="AF47" s="964">
        <v>1117</v>
      </c>
      <c r="AG47" s="965"/>
      <c r="AH47" s="964">
        <v>1107</v>
      </c>
      <c r="AI47" s="965"/>
      <c r="AJ47" s="964">
        <v>1079</v>
      </c>
      <c r="AK47" s="965"/>
      <c r="AL47" s="964">
        <v>1062</v>
      </c>
      <c r="AM47" s="965"/>
      <c r="AN47" s="964">
        <v>1020</v>
      </c>
      <c r="AO47" s="965"/>
      <c r="AP47" s="964">
        <v>984</v>
      </c>
      <c r="AQ47" s="965"/>
      <c r="AR47" s="964">
        <v>0</v>
      </c>
      <c r="AS47" s="965"/>
      <c r="AT47" s="964">
        <v>0</v>
      </c>
      <c r="AU47" s="965"/>
      <c r="AV47" s="964">
        <v>0</v>
      </c>
      <c r="AW47" s="965"/>
      <c r="AX47" s="964">
        <v>0</v>
      </c>
      <c r="AY47" s="966"/>
      <c r="AZ47" s="967">
        <v>0</v>
      </c>
      <c r="BA47" s="968"/>
      <c r="BB47" s="969">
        <v>0</v>
      </c>
      <c r="BC47" s="970"/>
      <c r="BD47" s="959" t="s">
        <v>424</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1130</v>
      </c>
      <c r="CB47" s="965"/>
      <c r="CC47" s="964">
        <v>1118</v>
      </c>
      <c r="CD47" s="965"/>
      <c r="CE47" s="964">
        <v>1157</v>
      </c>
      <c r="CF47" s="965"/>
      <c r="CG47" s="964">
        <v>1153</v>
      </c>
      <c r="CH47" s="965"/>
      <c r="CI47" s="964">
        <v>1130</v>
      </c>
      <c r="CJ47" s="965"/>
      <c r="CK47" s="964">
        <v>1096</v>
      </c>
      <c r="CL47" s="965"/>
      <c r="CM47" s="964">
        <v>1070</v>
      </c>
      <c r="CN47" s="965"/>
      <c r="CO47" s="964">
        <v>1046</v>
      </c>
      <c r="CP47" s="965"/>
      <c r="CQ47" s="964">
        <v>1014</v>
      </c>
      <c r="CR47" s="965"/>
      <c r="CS47" s="964">
        <v>971</v>
      </c>
      <c r="CT47" s="965"/>
      <c r="CU47" s="964">
        <v>0</v>
      </c>
      <c r="CV47" s="965"/>
      <c r="CW47" s="964">
        <v>0</v>
      </c>
      <c r="CX47" s="965"/>
      <c r="CY47" s="964">
        <v>0</v>
      </c>
      <c r="CZ47" s="965"/>
      <c r="DA47" s="964">
        <v>0</v>
      </c>
      <c r="DB47" s="966"/>
      <c r="DC47" s="967">
        <v>0</v>
      </c>
      <c r="DD47" s="968"/>
      <c r="DE47" s="969">
        <v>0</v>
      </c>
      <c r="DF47" s="970"/>
      <c r="DG47" s="959" t="s">
        <v>424</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1026</v>
      </c>
      <c r="EE47" s="965"/>
      <c r="EF47" s="964">
        <v>1025</v>
      </c>
      <c r="EG47" s="965"/>
      <c r="EH47" s="964">
        <v>1068</v>
      </c>
      <c r="EI47" s="965"/>
      <c r="EJ47" s="964">
        <v>1074</v>
      </c>
      <c r="EK47" s="965"/>
      <c r="EL47" s="964">
        <v>1046</v>
      </c>
      <c r="EM47" s="965"/>
      <c r="EN47" s="964">
        <v>1008</v>
      </c>
      <c r="EO47" s="965"/>
      <c r="EP47" s="964">
        <v>980</v>
      </c>
      <c r="EQ47" s="965"/>
      <c r="ER47" s="964">
        <v>959</v>
      </c>
      <c r="ES47" s="965"/>
      <c r="ET47" s="964">
        <v>916</v>
      </c>
      <c r="EU47" s="965"/>
      <c r="EV47" s="964">
        <v>869</v>
      </c>
      <c r="EW47" s="965"/>
      <c r="EX47" s="964">
        <v>0</v>
      </c>
      <c r="EY47" s="965"/>
      <c r="EZ47" s="964">
        <v>0</v>
      </c>
      <c r="FA47" s="965"/>
      <c r="FB47" s="964">
        <v>0</v>
      </c>
      <c r="FC47" s="965"/>
      <c r="FD47" s="964">
        <v>0</v>
      </c>
      <c r="FE47" s="966"/>
      <c r="FF47" s="967">
        <v>0</v>
      </c>
      <c r="FG47" s="968"/>
      <c r="FH47" s="969">
        <v>0</v>
      </c>
      <c r="FI47" s="970"/>
      <c r="FJ47" s="959" t="s">
        <v>424</v>
      </c>
      <c r="FK47" s="960"/>
      <c r="FL47" s="960"/>
      <c r="FM47" s="961"/>
      <c r="FN47" s="962"/>
      <c r="FO47" s="962"/>
      <c r="FP47" s="971"/>
      <c r="FQ47" s="972"/>
      <c r="FR47" s="964">
        <v>1986</v>
      </c>
      <c r="FS47" s="973"/>
      <c r="FT47" s="972"/>
      <c r="FU47" s="974">
        <v>2006</v>
      </c>
      <c r="FV47" s="975">
        <v>13</v>
      </c>
      <c r="FW47" s="964">
        <v>1117</v>
      </c>
      <c r="FX47" s="976">
        <v>11</v>
      </c>
      <c r="FY47" s="964">
        <v>1157</v>
      </c>
      <c r="FZ47" s="976">
        <v>12</v>
      </c>
      <c r="GA47" s="964">
        <v>1074</v>
      </c>
      <c r="GB47" s="977" t="s">
        <v>559</v>
      </c>
      <c r="GC47" s="964">
        <v>1157</v>
      </c>
      <c r="GD47" s="977" t="s">
        <v>356</v>
      </c>
      <c r="GE47" s="978">
        <v>2006</v>
      </c>
      <c r="GF47" s="681"/>
      <c r="GG47" s="979"/>
      <c r="GH47" s="979"/>
      <c r="GI47" s="979"/>
      <c r="GJ47" s="882"/>
      <c r="GK47" s="414" t="s">
        <v>499</v>
      </c>
      <c r="GL47" s="882"/>
      <c r="GM47" s="527"/>
      <c r="GN47" s="882"/>
      <c r="GO47" s="527"/>
      <c r="GP47" s="527"/>
      <c r="GQ47" s="527"/>
      <c r="GR47" s="882"/>
      <c r="GS47" s="527"/>
      <c r="GT47" s="756"/>
      <c r="GU47" s="767" t="s">
        <v>500</v>
      </c>
      <c r="GV47" s="767"/>
      <c r="GW47" s="767"/>
      <c r="GX47" s="767"/>
      <c r="GY47" s="527"/>
      <c r="GZ47" s="414"/>
      <c r="HA47" s="771">
        <v>0</v>
      </c>
      <c r="HB47" s="414"/>
      <c r="HC47" s="970"/>
      <c r="HD47" s="416"/>
    </row>
    <row r="48" spans="1:219" ht="20.100000000000001" customHeight="1">
      <c r="A48" s="980" t="s">
        <v>425</v>
      </c>
      <c r="B48" s="981" t="s">
        <v>426</v>
      </c>
      <c r="C48" s="884"/>
      <c r="D48" s="814"/>
      <c r="E48" s="814"/>
      <c r="F48" s="815"/>
      <c r="G48" s="733" t="s">
        <v>427</v>
      </c>
      <c r="H48" s="660" t="s">
        <v>393</v>
      </c>
      <c r="I48" s="735" t="s">
        <v>427</v>
      </c>
      <c r="J48" s="982" t="s">
        <v>393</v>
      </c>
      <c r="K48" s="735" t="s">
        <v>427</v>
      </c>
      <c r="L48" s="982" t="s">
        <v>393</v>
      </c>
      <c r="M48" s="735" t="s">
        <v>427</v>
      </c>
      <c r="N48" s="982" t="s">
        <v>393</v>
      </c>
      <c r="O48" s="735" t="s">
        <v>427</v>
      </c>
      <c r="P48" s="982" t="s">
        <v>393</v>
      </c>
      <c r="Q48" s="735" t="s">
        <v>427</v>
      </c>
      <c r="R48" s="982" t="s">
        <v>393</v>
      </c>
      <c r="S48" s="735" t="s">
        <v>427</v>
      </c>
      <c r="T48" s="982" t="s">
        <v>393</v>
      </c>
      <c r="U48" s="735" t="s">
        <v>427</v>
      </c>
      <c r="V48" s="982" t="s">
        <v>393</v>
      </c>
      <c r="W48" s="735" t="s">
        <v>427</v>
      </c>
      <c r="X48" s="982" t="s">
        <v>393</v>
      </c>
      <c r="Y48" s="735" t="s">
        <v>427</v>
      </c>
      <c r="Z48" s="982" t="s">
        <v>393</v>
      </c>
      <c r="AA48" s="735" t="s">
        <v>427</v>
      </c>
      <c r="AB48" s="982" t="s">
        <v>393</v>
      </c>
      <c r="AC48" s="735" t="s">
        <v>427</v>
      </c>
      <c r="AD48" s="982" t="s">
        <v>393</v>
      </c>
      <c r="AE48" s="735" t="s">
        <v>427</v>
      </c>
      <c r="AF48" s="982" t="s">
        <v>393</v>
      </c>
      <c r="AG48" s="735" t="s">
        <v>427</v>
      </c>
      <c r="AH48" s="982" t="s">
        <v>393</v>
      </c>
      <c r="AI48" s="735" t="s">
        <v>427</v>
      </c>
      <c r="AJ48" s="982" t="s">
        <v>393</v>
      </c>
      <c r="AK48" s="735" t="s">
        <v>427</v>
      </c>
      <c r="AL48" s="982" t="s">
        <v>393</v>
      </c>
      <c r="AM48" s="735" t="s">
        <v>427</v>
      </c>
      <c r="AN48" s="982" t="s">
        <v>393</v>
      </c>
      <c r="AO48" s="735" t="s">
        <v>427</v>
      </c>
      <c r="AP48" s="982" t="s">
        <v>393</v>
      </c>
      <c r="AQ48" s="735" t="s">
        <v>427</v>
      </c>
      <c r="AR48" s="982" t="s">
        <v>393</v>
      </c>
      <c r="AS48" s="735" t="s">
        <v>427</v>
      </c>
      <c r="AT48" s="982" t="s">
        <v>393</v>
      </c>
      <c r="AU48" s="735" t="s">
        <v>427</v>
      </c>
      <c r="AV48" s="982" t="s">
        <v>393</v>
      </c>
      <c r="AW48" s="735" t="s">
        <v>427</v>
      </c>
      <c r="AX48" s="982" t="s">
        <v>393</v>
      </c>
      <c r="AY48" s="735" t="s">
        <v>427</v>
      </c>
      <c r="AZ48" s="983" t="s">
        <v>393</v>
      </c>
      <c r="BA48" s="984" t="s">
        <v>427</v>
      </c>
      <c r="BB48" s="985" t="s">
        <v>393</v>
      </c>
      <c r="BC48" s="921"/>
      <c r="BD48" s="980" t="s">
        <v>425</v>
      </c>
      <c r="BE48" s="981" t="s">
        <v>426</v>
      </c>
      <c r="BF48" s="884"/>
      <c r="BG48" s="814"/>
      <c r="BH48" s="814"/>
      <c r="BI48" s="815"/>
      <c r="BJ48" s="733" t="s">
        <v>427</v>
      </c>
      <c r="BK48" s="660" t="s">
        <v>393</v>
      </c>
      <c r="BL48" s="735" t="s">
        <v>427</v>
      </c>
      <c r="BM48" s="982" t="s">
        <v>393</v>
      </c>
      <c r="BN48" s="735" t="s">
        <v>427</v>
      </c>
      <c r="BO48" s="982" t="s">
        <v>393</v>
      </c>
      <c r="BP48" s="735" t="s">
        <v>427</v>
      </c>
      <c r="BQ48" s="982" t="s">
        <v>393</v>
      </c>
      <c r="BR48" s="735" t="s">
        <v>427</v>
      </c>
      <c r="BS48" s="982" t="s">
        <v>393</v>
      </c>
      <c r="BT48" s="735" t="s">
        <v>427</v>
      </c>
      <c r="BU48" s="982" t="s">
        <v>393</v>
      </c>
      <c r="BV48" s="735" t="s">
        <v>427</v>
      </c>
      <c r="BW48" s="982" t="s">
        <v>393</v>
      </c>
      <c r="BX48" s="735" t="s">
        <v>427</v>
      </c>
      <c r="BY48" s="982" t="s">
        <v>393</v>
      </c>
      <c r="BZ48" s="735" t="s">
        <v>427</v>
      </c>
      <c r="CA48" s="982" t="s">
        <v>393</v>
      </c>
      <c r="CB48" s="735" t="s">
        <v>427</v>
      </c>
      <c r="CC48" s="982" t="s">
        <v>393</v>
      </c>
      <c r="CD48" s="735" t="s">
        <v>427</v>
      </c>
      <c r="CE48" s="982" t="s">
        <v>393</v>
      </c>
      <c r="CF48" s="735" t="s">
        <v>427</v>
      </c>
      <c r="CG48" s="982" t="s">
        <v>393</v>
      </c>
      <c r="CH48" s="735" t="s">
        <v>427</v>
      </c>
      <c r="CI48" s="982" t="s">
        <v>393</v>
      </c>
      <c r="CJ48" s="735" t="s">
        <v>427</v>
      </c>
      <c r="CK48" s="982" t="s">
        <v>393</v>
      </c>
      <c r="CL48" s="735" t="s">
        <v>427</v>
      </c>
      <c r="CM48" s="982" t="s">
        <v>393</v>
      </c>
      <c r="CN48" s="735" t="s">
        <v>427</v>
      </c>
      <c r="CO48" s="982" t="s">
        <v>393</v>
      </c>
      <c r="CP48" s="735" t="s">
        <v>427</v>
      </c>
      <c r="CQ48" s="982" t="s">
        <v>393</v>
      </c>
      <c r="CR48" s="735" t="s">
        <v>427</v>
      </c>
      <c r="CS48" s="982" t="s">
        <v>393</v>
      </c>
      <c r="CT48" s="735" t="s">
        <v>427</v>
      </c>
      <c r="CU48" s="982" t="s">
        <v>393</v>
      </c>
      <c r="CV48" s="735" t="s">
        <v>427</v>
      </c>
      <c r="CW48" s="982" t="s">
        <v>393</v>
      </c>
      <c r="CX48" s="735" t="s">
        <v>427</v>
      </c>
      <c r="CY48" s="982" t="s">
        <v>393</v>
      </c>
      <c r="CZ48" s="735" t="s">
        <v>427</v>
      </c>
      <c r="DA48" s="982" t="s">
        <v>393</v>
      </c>
      <c r="DB48" s="735" t="s">
        <v>427</v>
      </c>
      <c r="DC48" s="983" t="s">
        <v>393</v>
      </c>
      <c r="DD48" s="984" t="s">
        <v>427</v>
      </c>
      <c r="DE48" s="985" t="s">
        <v>393</v>
      </c>
      <c r="DF48" s="921"/>
      <c r="DG48" s="980" t="s">
        <v>425</v>
      </c>
      <c r="DH48" s="981" t="s">
        <v>426</v>
      </c>
      <c r="DI48" s="884"/>
      <c r="DJ48" s="814"/>
      <c r="DK48" s="814"/>
      <c r="DL48" s="815"/>
      <c r="DM48" s="733" t="s">
        <v>427</v>
      </c>
      <c r="DN48" s="660" t="s">
        <v>393</v>
      </c>
      <c r="DO48" s="735" t="s">
        <v>427</v>
      </c>
      <c r="DP48" s="982" t="s">
        <v>393</v>
      </c>
      <c r="DQ48" s="735" t="s">
        <v>427</v>
      </c>
      <c r="DR48" s="982" t="s">
        <v>393</v>
      </c>
      <c r="DS48" s="735" t="s">
        <v>427</v>
      </c>
      <c r="DT48" s="982" t="s">
        <v>393</v>
      </c>
      <c r="DU48" s="735" t="s">
        <v>427</v>
      </c>
      <c r="DV48" s="982" t="s">
        <v>393</v>
      </c>
      <c r="DW48" s="735" t="s">
        <v>427</v>
      </c>
      <c r="DX48" s="982" t="s">
        <v>393</v>
      </c>
      <c r="DY48" s="735" t="s">
        <v>427</v>
      </c>
      <c r="DZ48" s="982" t="s">
        <v>393</v>
      </c>
      <c r="EA48" s="735" t="s">
        <v>427</v>
      </c>
      <c r="EB48" s="982" t="s">
        <v>393</v>
      </c>
      <c r="EC48" s="735" t="s">
        <v>427</v>
      </c>
      <c r="ED48" s="982" t="s">
        <v>393</v>
      </c>
      <c r="EE48" s="735" t="s">
        <v>427</v>
      </c>
      <c r="EF48" s="982" t="s">
        <v>393</v>
      </c>
      <c r="EG48" s="735" t="s">
        <v>427</v>
      </c>
      <c r="EH48" s="982" t="s">
        <v>393</v>
      </c>
      <c r="EI48" s="735" t="s">
        <v>427</v>
      </c>
      <c r="EJ48" s="982" t="s">
        <v>393</v>
      </c>
      <c r="EK48" s="735" t="s">
        <v>427</v>
      </c>
      <c r="EL48" s="982" t="s">
        <v>393</v>
      </c>
      <c r="EM48" s="735" t="s">
        <v>427</v>
      </c>
      <c r="EN48" s="982" t="s">
        <v>393</v>
      </c>
      <c r="EO48" s="735" t="s">
        <v>427</v>
      </c>
      <c r="EP48" s="982" t="s">
        <v>393</v>
      </c>
      <c r="EQ48" s="735" t="s">
        <v>427</v>
      </c>
      <c r="ER48" s="982" t="s">
        <v>393</v>
      </c>
      <c r="ES48" s="735" t="s">
        <v>427</v>
      </c>
      <c r="ET48" s="982" t="s">
        <v>393</v>
      </c>
      <c r="EU48" s="735" t="s">
        <v>427</v>
      </c>
      <c r="EV48" s="982" t="s">
        <v>393</v>
      </c>
      <c r="EW48" s="735" t="s">
        <v>427</v>
      </c>
      <c r="EX48" s="982" t="s">
        <v>393</v>
      </c>
      <c r="EY48" s="735" t="s">
        <v>427</v>
      </c>
      <c r="EZ48" s="982" t="s">
        <v>393</v>
      </c>
      <c r="FA48" s="735" t="s">
        <v>427</v>
      </c>
      <c r="FB48" s="982" t="s">
        <v>393</v>
      </c>
      <c r="FC48" s="735" t="s">
        <v>427</v>
      </c>
      <c r="FD48" s="982" t="s">
        <v>393</v>
      </c>
      <c r="FE48" s="735" t="s">
        <v>427</v>
      </c>
      <c r="FF48" s="983" t="s">
        <v>393</v>
      </c>
      <c r="FG48" s="984" t="s">
        <v>427</v>
      </c>
      <c r="FH48" s="985" t="s">
        <v>393</v>
      </c>
      <c r="FI48" s="921"/>
      <c r="FJ48" s="980" t="s">
        <v>425</v>
      </c>
      <c r="FK48" s="731" t="s">
        <v>426</v>
      </c>
      <c r="FL48" s="884"/>
      <c r="FM48" s="814"/>
      <c r="FN48" s="814"/>
      <c r="FO48" s="815"/>
      <c r="FP48" s="740" t="s">
        <v>394</v>
      </c>
      <c r="FQ48" s="666" t="s">
        <v>427</v>
      </c>
      <c r="FR48" s="660" t="s">
        <v>395</v>
      </c>
      <c r="FS48" s="986" t="s">
        <v>394</v>
      </c>
      <c r="FT48" s="666" t="s">
        <v>427</v>
      </c>
      <c r="FU48" s="987" t="s">
        <v>395</v>
      </c>
      <c r="FV48" s="988"/>
      <c r="FW48" s="982" t="s">
        <v>319</v>
      </c>
      <c r="FX48" s="986"/>
      <c r="FY48" s="982" t="s">
        <v>319</v>
      </c>
      <c r="FZ48" s="986"/>
      <c r="GA48" s="982" t="s">
        <v>319</v>
      </c>
      <c r="GB48" s="986"/>
      <c r="GC48" s="982" t="s">
        <v>319</v>
      </c>
      <c r="GD48" s="986"/>
      <c r="GE48" s="989" t="s">
        <v>320</v>
      </c>
      <c r="GF48" s="681"/>
      <c r="GG48" s="652"/>
      <c r="GH48" s="652"/>
      <c r="GI48" s="652"/>
      <c r="GJ48" s="527"/>
      <c r="GK48" s="612" t="s">
        <v>501</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396</v>
      </c>
      <c r="C49" s="991"/>
      <c r="D49" s="747">
        <v>53</v>
      </c>
      <c r="E49" s="748">
        <v>4</v>
      </c>
      <c r="F49" s="992" t="s">
        <v>397</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396</v>
      </c>
      <c r="BF49" s="991"/>
      <c r="BG49" s="747"/>
      <c r="BH49" s="748">
        <v>4</v>
      </c>
      <c r="BI49" s="992" t="s">
        <v>397</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396</v>
      </c>
      <c r="DI49" s="991"/>
      <c r="DJ49" s="747"/>
      <c r="DK49" s="748">
        <v>4</v>
      </c>
      <c r="DL49" s="992" t="s">
        <v>397</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396</v>
      </c>
      <c r="FL49" s="991"/>
      <c r="FM49" s="752"/>
      <c r="FN49" s="748">
        <v>0</v>
      </c>
      <c r="FO49" s="992"/>
      <c r="FP49" s="678"/>
      <c r="FQ49" s="753"/>
      <c r="FR49" s="584">
        <v>0</v>
      </c>
      <c r="FS49" s="754"/>
      <c r="FT49" s="753"/>
      <c r="FU49" s="564">
        <v>0</v>
      </c>
      <c r="FV49" s="997" t="s">
        <v>327</v>
      </c>
      <c r="FW49" s="998"/>
      <c r="FX49" s="999" t="s">
        <v>328</v>
      </c>
      <c r="FY49" s="1000"/>
      <c r="FZ49" s="1001" t="s">
        <v>329</v>
      </c>
      <c r="GA49" s="1002"/>
      <c r="GB49" s="1003" t="s">
        <v>330</v>
      </c>
      <c r="GC49" s="1004"/>
      <c r="GD49" s="1003" t="s">
        <v>331</v>
      </c>
      <c r="GE49" s="1005"/>
      <c r="GF49" s="681"/>
      <c r="GG49" s="599"/>
      <c r="GH49" s="599"/>
      <c r="GI49" s="599"/>
      <c r="GJ49" s="577"/>
      <c r="GK49" s="414" t="s">
        <v>502</v>
      </c>
      <c r="GL49" s="577"/>
      <c r="GM49" s="414"/>
      <c r="GN49" s="577"/>
      <c r="GO49" s="414"/>
      <c r="GP49" s="414"/>
      <c r="GQ49" s="414"/>
      <c r="GR49" s="577"/>
      <c r="GS49" s="527"/>
      <c r="GT49" s="850"/>
      <c r="GU49" s="527" t="s">
        <v>480</v>
      </c>
      <c r="GV49" s="612"/>
      <c r="GW49" s="527"/>
      <c r="GX49" s="612"/>
      <c r="GY49" s="527"/>
      <c r="GZ49" s="392"/>
      <c r="HA49" s="577"/>
      <c r="HB49" s="392"/>
      <c r="HC49" s="1006"/>
      <c r="HD49" s="416"/>
    </row>
    <row r="50" spans="1:212" ht="20.100000000000001" customHeight="1">
      <c r="A50" s="990"/>
      <c r="B50" s="757" t="s">
        <v>403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503</v>
      </c>
      <c r="GL50" s="577"/>
      <c r="GM50" s="414"/>
      <c r="GN50" s="577"/>
      <c r="GO50" s="414"/>
      <c r="GP50" s="414"/>
      <c r="GQ50" s="414"/>
      <c r="GR50" s="577"/>
      <c r="GS50" s="942"/>
      <c r="GT50" s="926"/>
      <c r="GU50" s="577" t="s">
        <v>570</v>
      </c>
      <c r="GV50" s="577"/>
      <c r="GW50" s="577"/>
      <c r="GX50" s="577"/>
      <c r="GY50" s="612"/>
      <c r="GZ50" s="576"/>
      <c r="HA50" s="612">
        <v>40.1</v>
      </c>
      <c r="HB50" s="576" t="s">
        <v>462</v>
      </c>
      <c r="HC50" s="1027"/>
      <c r="HD50" s="416"/>
    </row>
    <row r="51" spans="1:212" ht="20.100000000000001" customHeight="1" thickBot="1">
      <c r="A51" s="1028"/>
      <c r="B51" s="463" t="s">
        <v>428</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428</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428</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428</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394</v>
      </c>
      <c r="GM51" s="1036" t="s">
        <v>505</v>
      </c>
      <c r="GN51" s="1037" t="s">
        <v>506</v>
      </c>
      <c r="GO51" s="1038" t="s">
        <v>507</v>
      </c>
      <c r="GP51" s="1038" t="s">
        <v>486</v>
      </c>
      <c r="GQ51" s="1039" t="s">
        <v>487</v>
      </c>
      <c r="GR51" s="726"/>
      <c r="GS51" s="942"/>
      <c r="GT51" s="756"/>
      <c r="GU51" s="577" t="s">
        <v>508</v>
      </c>
      <c r="GV51" s="577"/>
      <c r="GW51" s="577"/>
      <c r="GX51" s="577"/>
      <c r="GY51" s="414"/>
      <c r="GZ51" s="1040"/>
      <c r="HA51" s="612">
        <v>40.1</v>
      </c>
      <c r="HB51" s="576" t="s">
        <v>462</v>
      </c>
      <c r="HC51" s="1041"/>
      <c r="HD51" s="416"/>
    </row>
    <row r="52" spans="1:212" ht="20.100000000000001" customHeight="1" thickBot="1">
      <c r="A52" s="1042" t="s">
        <v>429</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429</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429</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429</v>
      </c>
      <c r="FK52" s="1043"/>
      <c r="FL52" s="1044"/>
      <c r="FM52" s="1044"/>
      <c r="FN52" s="1045"/>
      <c r="FO52" s="1044"/>
      <c r="FP52" s="1053"/>
      <c r="FQ52" s="1054"/>
      <c r="FR52" s="1047">
        <v>0</v>
      </c>
      <c r="FS52" s="1055"/>
      <c r="FT52" s="1054"/>
      <c r="FU52" s="1056">
        <v>0</v>
      </c>
      <c r="FV52" s="1057">
        <v>13</v>
      </c>
      <c r="FW52" s="1058">
        <v>212</v>
      </c>
      <c r="FX52" s="1059">
        <v>11</v>
      </c>
      <c r="FY52" s="1058">
        <v>212</v>
      </c>
      <c r="FZ52" s="1059">
        <v>12</v>
      </c>
      <c r="GA52" s="1058">
        <v>212</v>
      </c>
      <c r="GB52" s="1060" t="s">
        <v>559</v>
      </c>
      <c r="GC52" s="1061">
        <v>212</v>
      </c>
      <c r="GD52" s="1060" t="s">
        <v>356</v>
      </c>
      <c r="GE52" s="1062">
        <v>0</v>
      </c>
      <c r="GF52" s="681"/>
      <c r="GG52" s="979"/>
      <c r="GH52" s="979"/>
      <c r="GI52" s="979"/>
      <c r="GJ52" s="925"/>
      <c r="GK52" s="726"/>
      <c r="GL52" s="1063"/>
      <c r="GM52" s="1064"/>
      <c r="GN52" s="1064"/>
      <c r="GO52" s="1065"/>
      <c r="GP52" s="1065"/>
      <c r="GQ52" s="1066"/>
      <c r="GR52" s="942"/>
      <c r="GS52" s="882"/>
      <c r="GT52" s="850"/>
      <c r="GU52" s="527" t="s">
        <v>482</v>
      </c>
      <c r="GV52" s="726"/>
      <c r="GW52" s="925"/>
      <c r="GX52" s="726"/>
      <c r="GY52" s="414"/>
      <c r="GZ52" s="1067"/>
      <c r="HA52" s="942"/>
      <c r="HB52" s="1067"/>
      <c r="HC52" s="559"/>
      <c r="HD52" s="416"/>
    </row>
    <row r="53" spans="1:212" ht="20.100000000000001" customHeight="1" thickTop="1">
      <c r="A53" s="1068" t="s">
        <v>430</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1280</v>
      </c>
      <c r="Y53" s="1075"/>
      <c r="Z53" s="1074">
        <v>1274</v>
      </c>
      <c r="AA53" s="1075"/>
      <c r="AB53" s="1074">
        <v>1313</v>
      </c>
      <c r="AC53" s="1075"/>
      <c r="AD53" s="1074">
        <v>1329</v>
      </c>
      <c r="AE53" s="1075"/>
      <c r="AF53" s="1074">
        <v>1329</v>
      </c>
      <c r="AG53" s="1075"/>
      <c r="AH53" s="1074">
        <v>1319</v>
      </c>
      <c r="AI53" s="1075"/>
      <c r="AJ53" s="1074">
        <v>1291</v>
      </c>
      <c r="AK53" s="1075"/>
      <c r="AL53" s="1074">
        <v>1274</v>
      </c>
      <c r="AM53" s="1075"/>
      <c r="AN53" s="1074">
        <v>1232</v>
      </c>
      <c r="AO53" s="1075"/>
      <c r="AP53" s="1074">
        <v>1196</v>
      </c>
      <c r="AQ53" s="1075"/>
      <c r="AR53" s="1074">
        <v>0</v>
      </c>
      <c r="AS53" s="1075"/>
      <c r="AT53" s="1074">
        <v>0</v>
      </c>
      <c r="AU53" s="1075"/>
      <c r="AV53" s="1074">
        <v>0</v>
      </c>
      <c r="AW53" s="1075"/>
      <c r="AX53" s="1074">
        <v>0</v>
      </c>
      <c r="AY53" s="1076"/>
      <c r="AZ53" s="1077">
        <v>0</v>
      </c>
      <c r="BA53" s="1078"/>
      <c r="BB53" s="1079">
        <v>0</v>
      </c>
      <c r="BC53" s="970"/>
      <c r="BD53" s="1068" t="s">
        <v>430</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1342</v>
      </c>
      <c r="CB53" s="1075"/>
      <c r="CC53" s="1074">
        <v>1330</v>
      </c>
      <c r="CD53" s="1075"/>
      <c r="CE53" s="1074">
        <v>1369</v>
      </c>
      <c r="CF53" s="1075"/>
      <c r="CG53" s="1074">
        <v>1365</v>
      </c>
      <c r="CH53" s="1075"/>
      <c r="CI53" s="1074">
        <v>1342</v>
      </c>
      <c r="CJ53" s="1075"/>
      <c r="CK53" s="1074">
        <v>1308</v>
      </c>
      <c r="CL53" s="1075"/>
      <c r="CM53" s="1074">
        <v>1282</v>
      </c>
      <c r="CN53" s="1075"/>
      <c r="CO53" s="1074">
        <v>1258</v>
      </c>
      <c r="CP53" s="1075"/>
      <c r="CQ53" s="1074">
        <v>1226</v>
      </c>
      <c r="CR53" s="1075"/>
      <c r="CS53" s="1074">
        <v>1183</v>
      </c>
      <c r="CT53" s="1075"/>
      <c r="CU53" s="1074">
        <v>0</v>
      </c>
      <c r="CV53" s="1075"/>
      <c r="CW53" s="1074">
        <v>0</v>
      </c>
      <c r="CX53" s="1075"/>
      <c r="CY53" s="1074">
        <v>0</v>
      </c>
      <c r="CZ53" s="1075"/>
      <c r="DA53" s="1074">
        <v>0</v>
      </c>
      <c r="DB53" s="1076"/>
      <c r="DC53" s="1077">
        <v>0</v>
      </c>
      <c r="DD53" s="1078"/>
      <c r="DE53" s="1079">
        <v>0</v>
      </c>
      <c r="DF53" s="970"/>
      <c r="DG53" s="1068" t="s">
        <v>430</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1238</v>
      </c>
      <c r="EE53" s="1075"/>
      <c r="EF53" s="1074">
        <v>1237</v>
      </c>
      <c r="EG53" s="1075"/>
      <c r="EH53" s="1074">
        <v>1280</v>
      </c>
      <c r="EI53" s="1075"/>
      <c r="EJ53" s="1074">
        <v>1286</v>
      </c>
      <c r="EK53" s="1075"/>
      <c r="EL53" s="1074">
        <v>1258</v>
      </c>
      <c r="EM53" s="1075"/>
      <c r="EN53" s="1074">
        <v>1220</v>
      </c>
      <c r="EO53" s="1075"/>
      <c r="EP53" s="1074">
        <v>1192</v>
      </c>
      <c r="EQ53" s="1075"/>
      <c r="ER53" s="1074">
        <v>1171</v>
      </c>
      <c r="ES53" s="1075"/>
      <c r="ET53" s="1074">
        <v>1128</v>
      </c>
      <c r="EU53" s="1075"/>
      <c r="EV53" s="1074">
        <v>1081</v>
      </c>
      <c r="EW53" s="1075"/>
      <c r="EX53" s="1074">
        <v>0</v>
      </c>
      <c r="EY53" s="1075"/>
      <c r="EZ53" s="1074">
        <v>0</v>
      </c>
      <c r="FA53" s="1075"/>
      <c r="FB53" s="1074">
        <v>0</v>
      </c>
      <c r="FC53" s="1075"/>
      <c r="FD53" s="1074">
        <v>0</v>
      </c>
      <c r="FE53" s="1076"/>
      <c r="FF53" s="1077">
        <v>0</v>
      </c>
      <c r="FG53" s="1078"/>
      <c r="FH53" s="1079">
        <v>0</v>
      </c>
      <c r="FI53" s="970"/>
      <c r="FJ53" s="1068" t="s">
        <v>430</v>
      </c>
      <c r="FK53" s="1069"/>
      <c r="FL53" s="1070"/>
      <c r="FM53" s="1070"/>
      <c r="FN53" s="1071"/>
      <c r="FO53" s="1072"/>
      <c r="FP53" s="1080"/>
      <c r="FQ53" s="1081"/>
      <c r="FR53" s="1074">
        <v>1986</v>
      </c>
      <c r="FS53" s="1082"/>
      <c r="FT53" s="1081"/>
      <c r="FU53" s="1083">
        <v>2006</v>
      </c>
      <c r="FV53" s="1084">
        <v>13</v>
      </c>
      <c r="FW53" s="1085">
        <v>1329</v>
      </c>
      <c r="FX53" s="1086">
        <v>11</v>
      </c>
      <c r="FY53" s="1085">
        <v>1369</v>
      </c>
      <c r="FZ53" s="1086">
        <v>12</v>
      </c>
      <c r="GA53" s="1085">
        <v>1286</v>
      </c>
      <c r="GB53" s="1087" t="s">
        <v>559</v>
      </c>
      <c r="GC53" s="1085">
        <v>1369</v>
      </c>
      <c r="GD53" s="1087" t="s">
        <v>356</v>
      </c>
      <c r="GE53" s="1088">
        <v>2006</v>
      </c>
      <c r="GF53" s="681"/>
      <c r="GG53" s="979"/>
      <c r="GH53" s="979"/>
      <c r="GI53" s="979"/>
      <c r="GJ53" s="942"/>
      <c r="GK53" s="414"/>
      <c r="GL53" s="1089">
        <v>10</v>
      </c>
      <c r="GM53" s="1090">
        <v>1</v>
      </c>
      <c r="GN53" s="1091">
        <v>0.92</v>
      </c>
      <c r="GO53" s="1092">
        <v>4.2</v>
      </c>
      <c r="GP53" s="1092">
        <v>7</v>
      </c>
      <c r="GQ53" s="1093">
        <v>11.2</v>
      </c>
      <c r="GR53" s="577"/>
      <c r="GS53" s="480"/>
      <c r="GT53" s="850"/>
      <c r="GU53" s="577" t="s">
        <v>571</v>
      </c>
      <c r="GV53" s="577"/>
      <c r="GW53" s="577"/>
      <c r="GX53" s="577"/>
      <c r="GY53" s="414"/>
      <c r="GZ53" s="410"/>
      <c r="HA53" s="612">
        <v>39.4</v>
      </c>
      <c r="HB53" s="576" t="s">
        <v>462</v>
      </c>
      <c r="HC53" s="792"/>
      <c r="HD53" s="416"/>
    </row>
    <row r="54" spans="1:212" ht="20.100000000000001" customHeight="1">
      <c r="A54" s="1094" t="s">
        <v>431</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96.5</v>
      </c>
      <c r="AA54" s="1102"/>
      <c r="AB54" s="1101">
        <v>99.5</v>
      </c>
      <c r="AC54" s="1102"/>
      <c r="AD54" s="1101">
        <v>100.7</v>
      </c>
      <c r="AE54" s="1102"/>
      <c r="AF54" s="1101">
        <v>100.7</v>
      </c>
      <c r="AG54" s="1102"/>
      <c r="AH54" s="1101">
        <v>99.9</v>
      </c>
      <c r="AI54" s="1102"/>
      <c r="AJ54" s="1101">
        <v>97.8</v>
      </c>
      <c r="AK54" s="1102"/>
      <c r="AL54" s="1101">
        <v>96.5</v>
      </c>
      <c r="AM54" s="1102"/>
      <c r="AN54" s="1101">
        <v>93.3</v>
      </c>
      <c r="AO54" s="1102"/>
      <c r="AP54" s="1101">
        <v>90.6</v>
      </c>
      <c r="AQ54" s="1102"/>
      <c r="AR54" s="1101">
        <v>0</v>
      </c>
      <c r="AS54" s="1102"/>
      <c r="AT54" s="1101">
        <v>0</v>
      </c>
      <c r="AU54" s="1102"/>
      <c r="AV54" s="1101">
        <v>0</v>
      </c>
      <c r="AW54" s="1102"/>
      <c r="AX54" s="1101">
        <v>0</v>
      </c>
      <c r="AY54" s="1102"/>
      <c r="AZ54" s="1101">
        <v>0</v>
      </c>
      <c r="BA54" s="1102"/>
      <c r="BB54" s="1103">
        <v>0</v>
      </c>
      <c r="BC54" s="1006"/>
      <c r="BD54" s="1094" t="s">
        <v>431</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101.7</v>
      </c>
      <c r="CB54" s="1102"/>
      <c r="CC54" s="1101">
        <v>100.8</v>
      </c>
      <c r="CD54" s="1102"/>
      <c r="CE54" s="1101">
        <v>103.7</v>
      </c>
      <c r="CF54" s="1102"/>
      <c r="CG54" s="1101">
        <v>103.4</v>
      </c>
      <c r="CH54" s="1102"/>
      <c r="CI54" s="1101">
        <v>101.7</v>
      </c>
      <c r="CJ54" s="1102"/>
      <c r="CK54" s="1101">
        <v>99.1</v>
      </c>
      <c r="CL54" s="1102"/>
      <c r="CM54" s="1101">
        <v>97.1</v>
      </c>
      <c r="CN54" s="1102"/>
      <c r="CO54" s="1101">
        <v>95.3</v>
      </c>
      <c r="CP54" s="1102"/>
      <c r="CQ54" s="1101">
        <v>92.9</v>
      </c>
      <c r="CR54" s="1102"/>
      <c r="CS54" s="1101">
        <v>89.6</v>
      </c>
      <c r="CT54" s="1102"/>
      <c r="CU54" s="1101">
        <v>0</v>
      </c>
      <c r="CV54" s="1102"/>
      <c r="CW54" s="1101">
        <v>0</v>
      </c>
      <c r="CX54" s="1102"/>
      <c r="CY54" s="1101">
        <v>0</v>
      </c>
      <c r="CZ54" s="1102"/>
      <c r="DA54" s="1101">
        <v>0</v>
      </c>
      <c r="DB54" s="1102"/>
      <c r="DC54" s="1101">
        <v>0</v>
      </c>
      <c r="DD54" s="1102"/>
      <c r="DE54" s="1103">
        <v>0</v>
      </c>
      <c r="DF54" s="1006"/>
      <c r="DG54" s="1094" t="s">
        <v>431</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93.8</v>
      </c>
      <c r="EE54" s="1102"/>
      <c r="EF54" s="1101">
        <v>93.7</v>
      </c>
      <c r="EG54" s="1102"/>
      <c r="EH54" s="1101">
        <v>97</v>
      </c>
      <c r="EI54" s="1102"/>
      <c r="EJ54" s="1101">
        <v>97.4</v>
      </c>
      <c r="EK54" s="1102"/>
      <c r="EL54" s="1101">
        <v>95.3</v>
      </c>
      <c r="EM54" s="1102"/>
      <c r="EN54" s="1101">
        <v>92.4</v>
      </c>
      <c r="EO54" s="1102"/>
      <c r="EP54" s="1101">
        <v>90.3</v>
      </c>
      <c r="EQ54" s="1102"/>
      <c r="ER54" s="1101">
        <v>88.7</v>
      </c>
      <c r="ES54" s="1102"/>
      <c r="ET54" s="1101">
        <v>85.5</v>
      </c>
      <c r="EU54" s="1102"/>
      <c r="EV54" s="1101">
        <v>81.900000000000006</v>
      </c>
      <c r="EW54" s="1102"/>
      <c r="EX54" s="1101">
        <v>0</v>
      </c>
      <c r="EY54" s="1102"/>
      <c r="EZ54" s="1101">
        <v>0</v>
      </c>
      <c r="FA54" s="1102"/>
      <c r="FB54" s="1101">
        <v>0</v>
      </c>
      <c r="FC54" s="1102"/>
      <c r="FD54" s="1101">
        <v>0</v>
      </c>
      <c r="FE54" s="1102"/>
      <c r="FF54" s="1101">
        <v>0</v>
      </c>
      <c r="FG54" s="1102"/>
      <c r="FH54" s="1103">
        <v>0</v>
      </c>
      <c r="FI54" s="1006"/>
      <c r="FJ54" s="1094" t="s">
        <v>431</v>
      </c>
      <c r="FK54" s="1095"/>
      <c r="FL54" s="1096"/>
      <c r="FM54" s="1097"/>
      <c r="FN54" s="1098"/>
      <c r="FO54" s="1099"/>
      <c r="FP54" s="1104"/>
      <c r="FQ54" s="1102"/>
      <c r="FR54" s="1101">
        <v>150.5</v>
      </c>
      <c r="FS54" s="1105"/>
      <c r="FT54" s="1102"/>
      <c r="FU54" s="1106">
        <v>152</v>
      </c>
      <c r="FV54" s="1105"/>
      <c r="FW54" s="1101">
        <f>IF(面積=0,0,ROUND(FW53/面積,1))</f>
        <v>100.7</v>
      </c>
      <c r="FX54" s="1105"/>
      <c r="FY54" s="1101">
        <f>IF(面積=0,0,ROUND(FY53/面積,1))</f>
        <v>103.7</v>
      </c>
      <c r="FZ54" s="1105"/>
      <c r="GA54" s="1101">
        <f>IF(面積=0,0,ROUND(GA53/面積,1))</f>
        <v>97.4</v>
      </c>
      <c r="GB54" s="1105"/>
      <c r="GC54" s="1101">
        <f>IF(面積=0,0,ROUND(GC53/面積,1))</f>
        <v>103.7</v>
      </c>
      <c r="GD54" s="1105"/>
      <c r="GE54" s="1103">
        <f>IF(面積=0,0,ROUND(GE53/面積,1))</f>
        <v>152</v>
      </c>
      <c r="GF54" s="681"/>
      <c r="GG54" s="926"/>
      <c r="GH54" s="926"/>
      <c r="GI54" s="926"/>
      <c r="GJ54" s="577"/>
      <c r="GK54" s="576"/>
      <c r="GL54" s="1089">
        <v>11</v>
      </c>
      <c r="GM54" s="1090">
        <v>2</v>
      </c>
      <c r="GN54" s="1091">
        <v>0.85</v>
      </c>
      <c r="GO54" s="1092">
        <v>3.9</v>
      </c>
      <c r="GP54" s="1092">
        <v>7</v>
      </c>
      <c r="GQ54" s="1093">
        <v>10.9</v>
      </c>
      <c r="GR54" s="527"/>
      <c r="GS54" s="577"/>
      <c r="GT54" s="850"/>
      <c r="GU54" s="1107" t="s">
        <v>510</v>
      </c>
      <c r="GV54" s="1107"/>
      <c r="GW54" s="1107"/>
      <c r="GX54" s="1107"/>
      <c r="GY54" s="768"/>
      <c r="GZ54" s="1108"/>
      <c r="HA54" s="1109">
        <v>79.5</v>
      </c>
      <c r="HB54" s="1110" t="s">
        <v>462</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332</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332</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332</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333</v>
      </c>
      <c r="FK56" s="1118"/>
      <c r="FL56" s="1118"/>
      <c r="FM56" s="1118"/>
      <c r="FN56" s="1119"/>
      <c r="FO56" s="1119"/>
      <c r="FP56" s="1125" t="s">
        <v>556</v>
      </c>
      <c r="FQ56" s="1126"/>
      <c r="FR56" s="1127"/>
      <c r="FS56" s="1128" t="s">
        <v>286</v>
      </c>
      <c r="FT56" s="1129"/>
      <c r="FU56" s="1130"/>
      <c r="FV56" s="1131" t="s">
        <v>335</v>
      </c>
      <c r="FW56" s="1132"/>
      <c r="FX56" s="1133" t="s">
        <v>336</v>
      </c>
      <c r="FY56" s="1134"/>
      <c r="FZ56" s="1135" t="s">
        <v>337</v>
      </c>
      <c r="GA56" s="1136"/>
      <c r="GB56" s="1137" t="s">
        <v>338</v>
      </c>
      <c r="GC56" s="1122"/>
      <c r="GD56" s="1137" t="s">
        <v>339</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340</v>
      </c>
      <c r="H57" s="1143" t="s">
        <v>319</v>
      </c>
      <c r="I57" s="1144" t="s">
        <v>340</v>
      </c>
      <c r="J57" s="1143" t="s">
        <v>319</v>
      </c>
      <c r="K57" s="1144" t="s">
        <v>340</v>
      </c>
      <c r="L57" s="1143" t="s">
        <v>319</v>
      </c>
      <c r="M57" s="1144" t="s">
        <v>340</v>
      </c>
      <c r="N57" s="1143" t="s">
        <v>319</v>
      </c>
      <c r="O57" s="1144" t="s">
        <v>340</v>
      </c>
      <c r="P57" s="1143" t="s">
        <v>319</v>
      </c>
      <c r="Q57" s="1144" t="s">
        <v>340</v>
      </c>
      <c r="R57" s="1143" t="s">
        <v>319</v>
      </c>
      <c r="S57" s="1144" t="s">
        <v>340</v>
      </c>
      <c r="T57" s="1143" t="s">
        <v>319</v>
      </c>
      <c r="U57" s="1144" t="s">
        <v>340</v>
      </c>
      <c r="V57" s="1143" t="s">
        <v>319</v>
      </c>
      <c r="W57" s="1144" t="s">
        <v>340</v>
      </c>
      <c r="X57" s="1143" t="s">
        <v>319</v>
      </c>
      <c r="Y57" s="1144" t="s">
        <v>340</v>
      </c>
      <c r="Z57" s="1143" t="s">
        <v>319</v>
      </c>
      <c r="AA57" s="1144" t="s">
        <v>340</v>
      </c>
      <c r="AB57" s="1143" t="s">
        <v>319</v>
      </c>
      <c r="AC57" s="1144" t="s">
        <v>340</v>
      </c>
      <c r="AD57" s="1143" t="s">
        <v>340</v>
      </c>
      <c r="AE57" s="1144" t="s">
        <v>340</v>
      </c>
      <c r="AF57" s="1143" t="s">
        <v>319</v>
      </c>
      <c r="AG57" s="1144" t="s">
        <v>340</v>
      </c>
      <c r="AH57" s="1143" t="s">
        <v>319</v>
      </c>
      <c r="AI57" s="1144" t="s">
        <v>340</v>
      </c>
      <c r="AJ57" s="1143" t="s">
        <v>319</v>
      </c>
      <c r="AK57" s="1144" t="s">
        <v>340</v>
      </c>
      <c r="AL57" s="1143" t="s">
        <v>319</v>
      </c>
      <c r="AM57" s="1144" t="s">
        <v>340</v>
      </c>
      <c r="AN57" s="1143" t="s">
        <v>319</v>
      </c>
      <c r="AO57" s="1144" t="s">
        <v>340</v>
      </c>
      <c r="AP57" s="1143" t="s">
        <v>319</v>
      </c>
      <c r="AQ57" s="1144" t="s">
        <v>340</v>
      </c>
      <c r="AR57" s="1143" t="s">
        <v>319</v>
      </c>
      <c r="AS57" s="1144" t="s">
        <v>340</v>
      </c>
      <c r="AT57" s="1143" t="s">
        <v>319</v>
      </c>
      <c r="AU57" s="1144" t="s">
        <v>340</v>
      </c>
      <c r="AV57" s="1143" t="s">
        <v>319</v>
      </c>
      <c r="AW57" s="1144" t="s">
        <v>340</v>
      </c>
      <c r="AX57" s="1143" t="s">
        <v>319</v>
      </c>
      <c r="AY57" s="1144" t="s">
        <v>340</v>
      </c>
      <c r="AZ57" s="1143" t="s">
        <v>319</v>
      </c>
      <c r="BA57" s="1145" t="s">
        <v>340</v>
      </c>
      <c r="BB57" s="1146" t="s">
        <v>319</v>
      </c>
      <c r="BC57" s="1041"/>
      <c r="BD57" s="1138"/>
      <c r="BE57" s="1139"/>
      <c r="BF57" s="1139"/>
      <c r="BG57" s="1139"/>
      <c r="BH57" s="1140"/>
      <c r="BI57" s="1141"/>
      <c r="BJ57" s="1142" t="s">
        <v>340</v>
      </c>
      <c r="BK57" s="1143" t="s">
        <v>319</v>
      </c>
      <c r="BL57" s="1144" t="s">
        <v>340</v>
      </c>
      <c r="BM57" s="1143" t="s">
        <v>319</v>
      </c>
      <c r="BN57" s="1144" t="s">
        <v>340</v>
      </c>
      <c r="BO57" s="1143" t="s">
        <v>319</v>
      </c>
      <c r="BP57" s="1144" t="s">
        <v>340</v>
      </c>
      <c r="BQ57" s="1143" t="s">
        <v>319</v>
      </c>
      <c r="BR57" s="1144" t="s">
        <v>340</v>
      </c>
      <c r="BS57" s="1143" t="s">
        <v>319</v>
      </c>
      <c r="BT57" s="1144" t="s">
        <v>340</v>
      </c>
      <c r="BU57" s="1143" t="s">
        <v>319</v>
      </c>
      <c r="BV57" s="1144" t="s">
        <v>340</v>
      </c>
      <c r="BW57" s="1143" t="s">
        <v>319</v>
      </c>
      <c r="BX57" s="1144" t="s">
        <v>340</v>
      </c>
      <c r="BY57" s="1143" t="s">
        <v>319</v>
      </c>
      <c r="BZ57" s="1144" t="s">
        <v>340</v>
      </c>
      <c r="CA57" s="1143" t="s">
        <v>319</v>
      </c>
      <c r="CB57" s="1144" t="s">
        <v>340</v>
      </c>
      <c r="CC57" s="1143" t="s">
        <v>319</v>
      </c>
      <c r="CD57" s="1144" t="s">
        <v>340</v>
      </c>
      <c r="CE57" s="1143" t="s">
        <v>319</v>
      </c>
      <c r="CF57" s="1144" t="s">
        <v>340</v>
      </c>
      <c r="CG57" s="1143" t="s">
        <v>340</v>
      </c>
      <c r="CH57" s="1144" t="s">
        <v>340</v>
      </c>
      <c r="CI57" s="1143" t="s">
        <v>319</v>
      </c>
      <c r="CJ57" s="1144" t="s">
        <v>340</v>
      </c>
      <c r="CK57" s="1143" t="s">
        <v>319</v>
      </c>
      <c r="CL57" s="1144" t="s">
        <v>340</v>
      </c>
      <c r="CM57" s="1143" t="s">
        <v>319</v>
      </c>
      <c r="CN57" s="1144" t="s">
        <v>340</v>
      </c>
      <c r="CO57" s="1143" t="s">
        <v>319</v>
      </c>
      <c r="CP57" s="1144" t="s">
        <v>340</v>
      </c>
      <c r="CQ57" s="1143" t="s">
        <v>319</v>
      </c>
      <c r="CR57" s="1144" t="s">
        <v>340</v>
      </c>
      <c r="CS57" s="1143" t="s">
        <v>319</v>
      </c>
      <c r="CT57" s="1144" t="s">
        <v>340</v>
      </c>
      <c r="CU57" s="1143" t="s">
        <v>319</v>
      </c>
      <c r="CV57" s="1144" t="s">
        <v>340</v>
      </c>
      <c r="CW57" s="1143" t="s">
        <v>319</v>
      </c>
      <c r="CX57" s="1144" t="s">
        <v>340</v>
      </c>
      <c r="CY57" s="1143" t="s">
        <v>319</v>
      </c>
      <c r="CZ57" s="1144" t="s">
        <v>340</v>
      </c>
      <c r="DA57" s="1143" t="s">
        <v>319</v>
      </c>
      <c r="DB57" s="1144" t="s">
        <v>340</v>
      </c>
      <c r="DC57" s="1143" t="s">
        <v>319</v>
      </c>
      <c r="DD57" s="1145" t="s">
        <v>340</v>
      </c>
      <c r="DE57" s="1146" t="s">
        <v>319</v>
      </c>
      <c r="DF57" s="1041"/>
      <c r="DG57" s="1138"/>
      <c r="DH57" s="1139"/>
      <c r="DI57" s="1139"/>
      <c r="DJ57" s="1139"/>
      <c r="DK57" s="1140"/>
      <c r="DL57" s="1141"/>
      <c r="DM57" s="1142" t="s">
        <v>340</v>
      </c>
      <c r="DN57" s="1143" t="s">
        <v>319</v>
      </c>
      <c r="DO57" s="1144" t="s">
        <v>340</v>
      </c>
      <c r="DP57" s="1143" t="s">
        <v>319</v>
      </c>
      <c r="DQ57" s="1144" t="s">
        <v>340</v>
      </c>
      <c r="DR57" s="1143" t="s">
        <v>319</v>
      </c>
      <c r="DS57" s="1144" t="s">
        <v>340</v>
      </c>
      <c r="DT57" s="1143" t="s">
        <v>319</v>
      </c>
      <c r="DU57" s="1144" t="s">
        <v>340</v>
      </c>
      <c r="DV57" s="1143" t="s">
        <v>319</v>
      </c>
      <c r="DW57" s="1144" t="s">
        <v>340</v>
      </c>
      <c r="DX57" s="1143" t="s">
        <v>319</v>
      </c>
      <c r="DY57" s="1144" t="s">
        <v>340</v>
      </c>
      <c r="DZ57" s="1143" t="s">
        <v>319</v>
      </c>
      <c r="EA57" s="1144" t="s">
        <v>340</v>
      </c>
      <c r="EB57" s="1143" t="s">
        <v>319</v>
      </c>
      <c r="EC57" s="1144" t="s">
        <v>340</v>
      </c>
      <c r="ED57" s="1143" t="s">
        <v>319</v>
      </c>
      <c r="EE57" s="1144" t="s">
        <v>340</v>
      </c>
      <c r="EF57" s="1143" t="s">
        <v>319</v>
      </c>
      <c r="EG57" s="1144" t="s">
        <v>340</v>
      </c>
      <c r="EH57" s="1143" t="s">
        <v>319</v>
      </c>
      <c r="EI57" s="1144" t="s">
        <v>340</v>
      </c>
      <c r="EJ57" s="1143" t="s">
        <v>340</v>
      </c>
      <c r="EK57" s="1144" t="s">
        <v>340</v>
      </c>
      <c r="EL57" s="1143" t="s">
        <v>319</v>
      </c>
      <c r="EM57" s="1144" t="s">
        <v>340</v>
      </c>
      <c r="EN57" s="1143" t="s">
        <v>319</v>
      </c>
      <c r="EO57" s="1144" t="s">
        <v>340</v>
      </c>
      <c r="EP57" s="1143" t="s">
        <v>319</v>
      </c>
      <c r="EQ57" s="1144" t="s">
        <v>340</v>
      </c>
      <c r="ER57" s="1143" t="s">
        <v>319</v>
      </c>
      <c r="ES57" s="1144" t="s">
        <v>340</v>
      </c>
      <c r="ET57" s="1143" t="s">
        <v>319</v>
      </c>
      <c r="EU57" s="1144" t="s">
        <v>340</v>
      </c>
      <c r="EV57" s="1143" t="s">
        <v>319</v>
      </c>
      <c r="EW57" s="1144" t="s">
        <v>340</v>
      </c>
      <c r="EX57" s="1143" t="s">
        <v>319</v>
      </c>
      <c r="EY57" s="1144" t="s">
        <v>340</v>
      </c>
      <c r="EZ57" s="1143" t="s">
        <v>319</v>
      </c>
      <c r="FA57" s="1144" t="s">
        <v>340</v>
      </c>
      <c r="FB57" s="1143" t="s">
        <v>319</v>
      </c>
      <c r="FC57" s="1144" t="s">
        <v>340</v>
      </c>
      <c r="FD57" s="1143" t="s">
        <v>319</v>
      </c>
      <c r="FE57" s="1144" t="s">
        <v>340</v>
      </c>
      <c r="FF57" s="1143" t="s">
        <v>319</v>
      </c>
      <c r="FG57" s="1145" t="s">
        <v>340</v>
      </c>
      <c r="FH57" s="1146" t="s">
        <v>319</v>
      </c>
      <c r="FI57" s="1041"/>
      <c r="FJ57" s="1138"/>
      <c r="FK57" s="1139"/>
      <c r="FL57" s="1139"/>
      <c r="FM57" s="1139"/>
      <c r="FN57" s="1140"/>
      <c r="FO57" s="1141"/>
      <c r="FP57" s="1147" t="s">
        <v>43</v>
      </c>
      <c r="FQ57" s="1145" t="s">
        <v>340</v>
      </c>
      <c r="FR57" s="1143" t="s">
        <v>320</v>
      </c>
      <c r="FS57" s="1148" t="s">
        <v>43</v>
      </c>
      <c r="FT57" s="1145" t="s">
        <v>340</v>
      </c>
      <c r="FU57" s="1149" t="s">
        <v>320</v>
      </c>
      <c r="FV57" s="1150" t="s">
        <v>43</v>
      </c>
      <c r="FW57" s="1143" t="s">
        <v>319</v>
      </c>
      <c r="FX57" s="1148" t="s">
        <v>43</v>
      </c>
      <c r="FY57" s="1143" t="s">
        <v>319</v>
      </c>
      <c r="FZ57" s="1148" t="s">
        <v>43</v>
      </c>
      <c r="GA57" s="1143" t="s">
        <v>319</v>
      </c>
      <c r="GB57" s="1148" t="s">
        <v>43</v>
      </c>
      <c r="GC57" s="1143" t="s">
        <v>319</v>
      </c>
      <c r="GD57" s="1148" t="s">
        <v>43</v>
      </c>
      <c r="GE57" s="1146" t="s">
        <v>320</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682</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11.6</v>
      </c>
      <c r="X59" s="584">
        <v>464</v>
      </c>
      <c r="Y59" s="1173">
        <v>12</v>
      </c>
      <c r="Z59" s="584">
        <v>480</v>
      </c>
      <c r="AA59" s="1173">
        <v>12.1</v>
      </c>
      <c r="AB59" s="584">
        <v>484</v>
      </c>
      <c r="AC59" s="1173">
        <v>12.7</v>
      </c>
      <c r="AD59" s="584">
        <v>508</v>
      </c>
      <c r="AE59" s="1173">
        <v>12.5</v>
      </c>
      <c r="AF59" s="584">
        <v>500</v>
      </c>
      <c r="AG59" s="1173">
        <v>12.2</v>
      </c>
      <c r="AH59" s="584">
        <v>488</v>
      </c>
      <c r="AI59" s="1173">
        <v>12.2</v>
      </c>
      <c r="AJ59" s="584">
        <v>488</v>
      </c>
      <c r="AK59" s="1173">
        <v>12.1</v>
      </c>
      <c r="AL59" s="584">
        <v>484</v>
      </c>
      <c r="AM59" s="1173">
        <v>11.8</v>
      </c>
      <c r="AN59" s="584">
        <v>472</v>
      </c>
      <c r="AO59" s="1173">
        <v>11.5</v>
      </c>
      <c r="AP59" s="584">
        <v>460</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9.4</v>
      </c>
      <c r="CA59" s="584">
        <v>376</v>
      </c>
      <c r="CB59" s="1173">
        <v>9.6999999999999993</v>
      </c>
      <c r="CC59" s="584">
        <v>388</v>
      </c>
      <c r="CD59" s="1173">
        <v>10.1</v>
      </c>
      <c r="CE59" s="584">
        <v>404</v>
      </c>
      <c r="CF59" s="1173">
        <v>10.4</v>
      </c>
      <c r="CG59" s="584">
        <v>416</v>
      </c>
      <c r="CH59" s="1173">
        <v>10.6</v>
      </c>
      <c r="CI59" s="584">
        <v>424</v>
      </c>
      <c r="CJ59" s="1173">
        <v>10.3</v>
      </c>
      <c r="CK59" s="584">
        <v>412</v>
      </c>
      <c r="CL59" s="1173">
        <v>10.199999999999999</v>
      </c>
      <c r="CM59" s="584">
        <v>408</v>
      </c>
      <c r="CN59" s="1173">
        <v>10.1</v>
      </c>
      <c r="CO59" s="584">
        <v>404</v>
      </c>
      <c r="CP59" s="1173">
        <v>10.1</v>
      </c>
      <c r="CQ59" s="584">
        <v>404</v>
      </c>
      <c r="CR59" s="1173">
        <v>9.8000000000000007</v>
      </c>
      <c r="CS59" s="584">
        <v>392</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5.5</v>
      </c>
      <c r="ED59" s="584">
        <v>220</v>
      </c>
      <c r="EE59" s="1173">
        <v>6</v>
      </c>
      <c r="EF59" s="584">
        <v>240</v>
      </c>
      <c r="EG59" s="1173">
        <v>6</v>
      </c>
      <c r="EH59" s="584">
        <v>240</v>
      </c>
      <c r="EI59" s="1173">
        <v>6.2</v>
      </c>
      <c r="EJ59" s="584">
        <v>248</v>
      </c>
      <c r="EK59" s="1173">
        <v>6.1</v>
      </c>
      <c r="EL59" s="584">
        <v>244</v>
      </c>
      <c r="EM59" s="1173">
        <v>5.9</v>
      </c>
      <c r="EN59" s="584">
        <v>236</v>
      </c>
      <c r="EO59" s="1173">
        <v>5.8</v>
      </c>
      <c r="EP59" s="584">
        <v>232</v>
      </c>
      <c r="EQ59" s="1173">
        <v>5.8</v>
      </c>
      <c r="ER59" s="584">
        <v>232</v>
      </c>
      <c r="ES59" s="1173">
        <v>5.6</v>
      </c>
      <c r="ET59" s="584">
        <v>224</v>
      </c>
      <c r="EU59" s="1173">
        <v>5.8</v>
      </c>
      <c r="EV59" s="584">
        <v>232</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2.9</v>
      </c>
      <c r="FR59" s="1175">
        <v>116</v>
      </c>
      <c r="FS59" s="1176">
        <v>9</v>
      </c>
      <c r="FT59" s="1174">
        <v>2.9</v>
      </c>
      <c r="FU59" s="1177">
        <v>116</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664</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1744</v>
      </c>
      <c r="Y61" s="1194"/>
      <c r="Z61" s="1195">
        <v>1754</v>
      </c>
      <c r="AA61" s="1194"/>
      <c r="AB61" s="1195">
        <v>1797</v>
      </c>
      <c r="AC61" s="1194"/>
      <c r="AD61" s="1195">
        <v>1837</v>
      </c>
      <c r="AE61" s="1194"/>
      <c r="AF61" s="1195">
        <v>1829</v>
      </c>
      <c r="AG61" s="1194"/>
      <c r="AH61" s="1195">
        <v>1807</v>
      </c>
      <c r="AI61" s="1194"/>
      <c r="AJ61" s="1195">
        <v>1779</v>
      </c>
      <c r="AK61" s="1194"/>
      <c r="AL61" s="1195">
        <v>1758</v>
      </c>
      <c r="AM61" s="1194"/>
      <c r="AN61" s="1195">
        <v>1704</v>
      </c>
      <c r="AO61" s="1194"/>
      <c r="AP61" s="1195">
        <v>1656</v>
      </c>
      <c r="AQ61" s="1194"/>
      <c r="AR61" s="1195">
        <v>0</v>
      </c>
      <c r="AS61" s="1194"/>
      <c r="AT61" s="1195">
        <v>0</v>
      </c>
      <c r="AU61" s="1194"/>
      <c r="AV61" s="1195">
        <v>0</v>
      </c>
      <c r="AW61" s="1194"/>
      <c r="AX61" s="1195">
        <v>0</v>
      </c>
      <c r="AY61" s="1194"/>
      <c r="AZ61" s="1195">
        <v>0</v>
      </c>
      <c r="BA61" s="1194"/>
      <c r="BB61" s="1196">
        <v>0</v>
      </c>
      <c r="BC61" s="560"/>
      <c r="BD61" s="1189" t="s">
        <v>664</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1718</v>
      </c>
      <c r="CB61" s="1194"/>
      <c r="CC61" s="1195">
        <v>1718</v>
      </c>
      <c r="CD61" s="1194"/>
      <c r="CE61" s="1195">
        <v>1773</v>
      </c>
      <c r="CF61" s="1194"/>
      <c r="CG61" s="1195">
        <v>1781</v>
      </c>
      <c r="CH61" s="1194"/>
      <c r="CI61" s="1195">
        <v>1766</v>
      </c>
      <c r="CJ61" s="1194"/>
      <c r="CK61" s="1195">
        <v>1720</v>
      </c>
      <c r="CL61" s="1194"/>
      <c r="CM61" s="1195">
        <v>1690</v>
      </c>
      <c r="CN61" s="1194"/>
      <c r="CO61" s="1195">
        <v>1662</v>
      </c>
      <c r="CP61" s="1194"/>
      <c r="CQ61" s="1195">
        <v>1630</v>
      </c>
      <c r="CR61" s="1194"/>
      <c r="CS61" s="1195">
        <v>1575</v>
      </c>
      <c r="CT61" s="1194"/>
      <c r="CU61" s="1195">
        <v>0</v>
      </c>
      <c r="CV61" s="1194"/>
      <c r="CW61" s="1195">
        <v>0</v>
      </c>
      <c r="CX61" s="1194"/>
      <c r="CY61" s="1195">
        <v>0</v>
      </c>
      <c r="CZ61" s="1194"/>
      <c r="DA61" s="1195">
        <v>0</v>
      </c>
      <c r="DB61" s="1194"/>
      <c r="DC61" s="1195">
        <v>0</v>
      </c>
      <c r="DD61" s="1194"/>
      <c r="DE61" s="1196">
        <v>0</v>
      </c>
      <c r="DF61" s="559"/>
      <c r="DG61" s="1189" t="s">
        <v>664</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1458</v>
      </c>
      <c r="EE61" s="1194"/>
      <c r="EF61" s="1195">
        <v>1477</v>
      </c>
      <c r="EG61" s="1194"/>
      <c r="EH61" s="1195">
        <v>1520</v>
      </c>
      <c r="EI61" s="1194"/>
      <c r="EJ61" s="1195">
        <v>1534</v>
      </c>
      <c r="EK61" s="1194"/>
      <c r="EL61" s="1195">
        <v>1502</v>
      </c>
      <c r="EM61" s="1194"/>
      <c r="EN61" s="1195">
        <v>1456</v>
      </c>
      <c r="EO61" s="1194"/>
      <c r="EP61" s="1195">
        <v>1424</v>
      </c>
      <c r="EQ61" s="1194"/>
      <c r="ER61" s="1195">
        <v>1403</v>
      </c>
      <c r="ES61" s="1194"/>
      <c r="ET61" s="1195">
        <v>1352</v>
      </c>
      <c r="EU61" s="1194"/>
      <c r="EV61" s="1195">
        <v>1313</v>
      </c>
      <c r="EW61" s="1194"/>
      <c r="EX61" s="1195">
        <v>0</v>
      </c>
      <c r="EY61" s="1194"/>
      <c r="EZ61" s="1195">
        <v>0</v>
      </c>
      <c r="FA61" s="1194"/>
      <c r="FB61" s="1195">
        <v>0</v>
      </c>
      <c r="FC61" s="1194"/>
      <c r="FD61" s="1195">
        <v>0</v>
      </c>
      <c r="FE61" s="1194"/>
      <c r="FF61" s="1195">
        <v>0</v>
      </c>
      <c r="FG61" s="1194"/>
      <c r="FH61" s="1196">
        <v>0</v>
      </c>
      <c r="FI61" s="560"/>
      <c r="FJ61" s="1189" t="s">
        <v>664</v>
      </c>
      <c r="FK61" s="1190"/>
      <c r="FL61" s="1190"/>
      <c r="FM61" s="1190"/>
      <c r="FN61" s="1190"/>
      <c r="FO61" s="1190"/>
      <c r="FP61" s="1197"/>
      <c r="FQ61" s="1198"/>
      <c r="FR61" s="1199">
        <v>2102</v>
      </c>
      <c r="FS61" s="1200"/>
      <c r="FT61" s="1198"/>
      <c r="FU61" s="1201">
        <v>2122</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341</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342</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341</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341</v>
      </c>
      <c r="FK63" s="1119"/>
      <c r="FL63" s="1119"/>
      <c r="FM63" s="1119"/>
      <c r="FN63" s="1119"/>
      <c r="FO63" s="1120"/>
      <c r="FP63" s="1125" t="s">
        <v>556</v>
      </c>
      <c r="FQ63" s="1126"/>
      <c r="FR63" s="1127"/>
      <c r="FS63" s="1128" t="s">
        <v>286</v>
      </c>
      <c r="FT63" s="1129"/>
      <c r="FU63" s="1130"/>
      <c r="FV63" s="1131" t="s">
        <v>335</v>
      </c>
      <c r="FW63" s="1132"/>
      <c r="FX63" s="1133" t="s">
        <v>336</v>
      </c>
      <c r="FY63" s="1134"/>
      <c r="FZ63" s="1135" t="s">
        <v>337</v>
      </c>
      <c r="GA63" s="1136"/>
      <c r="GB63" s="1137" t="s">
        <v>338</v>
      </c>
      <c r="GC63" s="1122"/>
      <c r="GD63" s="1137" t="s">
        <v>339</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344</v>
      </c>
      <c r="I64" s="1144"/>
      <c r="J64" s="1143" t="s">
        <v>344</v>
      </c>
      <c r="K64" s="1144"/>
      <c r="L64" s="1143" t="s">
        <v>344</v>
      </c>
      <c r="M64" s="1144"/>
      <c r="N64" s="1143" t="s">
        <v>344</v>
      </c>
      <c r="O64" s="1144"/>
      <c r="P64" s="1143" t="s">
        <v>344</v>
      </c>
      <c r="Q64" s="1144"/>
      <c r="R64" s="1143" t="s">
        <v>344</v>
      </c>
      <c r="S64" s="1144"/>
      <c r="T64" s="1143" t="s">
        <v>344</v>
      </c>
      <c r="U64" s="1144"/>
      <c r="V64" s="1143" t="s">
        <v>344</v>
      </c>
      <c r="W64" s="1144"/>
      <c r="X64" s="1143" t="s">
        <v>344</v>
      </c>
      <c r="Y64" s="1144"/>
      <c r="Z64" s="1143" t="s">
        <v>344</v>
      </c>
      <c r="AA64" s="1144"/>
      <c r="AB64" s="1143" t="s">
        <v>344</v>
      </c>
      <c r="AC64" s="1144"/>
      <c r="AD64" s="1143" t="s">
        <v>344</v>
      </c>
      <c r="AE64" s="1144"/>
      <c r="AF64" s="1143" t="s">
        <v>344</v>
      </c>
      <c r="AG64" s="1144"/>
      <c r="AH64" s="1143" t="s">
        <v>344</v>
      </c>
      <c r="AI64" s="1144"/>
      <c r="AJ64" s="1143" t="s">
        <v>344</v>
      </c>
      <c r="AK64" s="1144"/>
      <c r="AL64" s="1143" t="s">
        <v>344</v>
      </c>
      <c r="AM64" s="1144"/>
      <c r="AN64" s="1143" t="s">
        <v>344</v>
      </c>
      <c r="AO64" s="1144"/>
      <c r="AP64" s="1143" t="s">
        <v>344</v>
      </c>
      <c r="AQ64" s="1144"/>
      <c r="AR64" s="1143" t="s">
        <v>344</v>
      </c>
      <c r="AS64" s="1144"/>
      <c r="AT64" s="1143" t="s">
        <v>344</v>
      </c>
      <c r="AU64" s="1144"/>
      <c r="AV64" s="1143" t="s">
        <v>344</v>
      </c>
      <c r="AW64" s="1144"/>
      <c r="AX64" s="1143" t="s">
        <v>344</v>
      </c>
      <c r="AY64" s="1144"/>
      <c r="AZ64" s="1143" t="s">
        <v>344</v>
      </c>
      <c r="BA64" s="1144"/>
      <c r="BB64" s="1146" t="s">
        <v>344</v>
      </c>
      <c r="BC64" s="1041"/>
      <c r="BD64" s="1210"/>
      <c r="BE64" s="1211"/>
      <c r="BF64" s="1211"/>
      <c r="BG64" s="1211"/>
      <c r="BH64" s="1140"/>
      <c r="BI64" s="1141"/>
      <c r="BJ64" s="1142"/>
      <c r="BK64" s="1143" t="s">
        <v>344</v>
      </c>
      <c r="BL64" s="1144"/>
      <c r="BM64" s="1143" t="s">
        <v>344</v>
      </c>
      <c r="BN64" s="1144"/>
      <c r="BO64" s="1143" t="s">
        <v>344</v>
      </c>
      <c r="BP64" s="1144"/>
      <c r="BQ64" s="1143" t="s">
        <v>344</v>
      </c>
      <c r="BR64" s="1144"/>
      <c r="BS64" s="1143" t="s">
        <v>344</v>
      </c>
      <c r="BT64" s="1144"/>
      <c r="BU64" s="1143" t="s">
        <v>344</v>
      </c>
      <c r="BV64" s="1144"/>
      <c r="BW64" s="1143" t="s">
        <v>344</v>
      </c>
      <c r="BX64" s="1144"/>
      <c r="BY64" s="1143" t="s">
        <v>344</v>
      </c>
      <c r="BZ64" s="1144"/>
      <c r="CA64" s="1143" t="s">
        <v>344</v>
      </c>
      <c r="CB64" s="1144"/>
      <c r="CC64" s="1143" t="s">
        <v>344</v>
      </c>
      <c r="CD64" s="1144"/>
      <c r="CE64" s="1143" t="s">
        <v>344</v>
      </c>
      <c r="CF64" s="1144"/>
      <c r="CG64" s="1143" t="s">
        <v>344</v>
      </c>
      <c r="CH64" s="1144"/>
      <c r="CI64" s="1143" t="s">
        <v>344</v>
      </c>
      <c r="CJ64" s="1144"/>
      <c r="CK64" s="1143" t="s">
        <v>344</v>
      </c>
      <c r="CL64" s="1144"/>
      <c r="CM64" s="1143" t="s">
        <v>344</v>
      </c>
      <c r="CN64" s="1144"/>
      <c r="CO64" s="1143" t="s">
        <v>344</v>
      </c>
      <c r="CP64" s="1144"/>
      <c r="CQ64" s="1143" t="s">
        <v>344</v>
      </c>
      <c r="CR64" s="1144"/>
      <c r="CS64" s="1143" t="s">
        <v>344</v>
      </c>
      <c r="CT64" s="1144"/>
      <c r="CU64" s="1143" t="s">
        <v>344</v>
      </c>
      <c r="CV64" s="1144"/>
      <c r="CW64" s="1143" t="s">
        <v>344</v>
      </c>
      <c r="CX64" s="1144"/>
      <c r="CY64" s="1143" t="s">
        <v>344</v>
      </c>
      <c r="CZ64" s="1144"/>
      <c r="DA64" s="1143" t="s">
        <v>344</v>
      </c>
      <c r="DB64" s="1144"/>
      <c r="DC64" s="1143" t="s">
        <v>344</v>
      </c>
      <c r="DD64" s="1144"/>
      <c r="DE64" s="1146" t="s">
        <v>344</v>
      </c>
      <c r="DF64" s="1041"/>
      <c r="DG64" s="1209"/>
      <c r="DH64" s="1140"/>
      <c r="DI64" s="1140"/>
      <c r="DJ64" s="1140"/>
      <c r="DK64" s="1140"/>
      <c r="DL64" s="1141"/>
      <c r="DM64" s="1142"/>
      <c r="DN64" s="1143" t="s">
        <v>344</v>
      </c>
      <c r="DO64" s="1144"/>
      <c r="DP64" s="1143" t="s">
        <v>344</v>
      </c>
      <c r="DQ64" s="1144"/>
      <c r="DR64" s="1143" t="s">
        <v>344</v>
      </c>
      <c r="DS64" s="1144"/>
      <c r="DT64" s="1143" t="s">
        <v>344</v>
      </c>
      <c r="DU64" s="1144"/>
      <c r="DV64" s="1143" t="s">
        <v>344</v>
      </c>
      <c r="DW64" s="1144"/>
      <c r="DX64" s="1143" t="s">
        <v>344</v>
      </c>
      <c r="DY64" s="1144"/>
      <c r="DZ64" s="1143" t="s">
        <v>344</v>
      </c>
      <c r="EA64" s="1144"/>
      <c r="EB64" s="1143" t="s">
        <v>344</v>
      </c>
      <c r="EC64" s="1144"/>
      <c r="ED64" s="1143" t="s">
        <v>344</v>
      </c>
      <c r="EE64" s="1144"/>
      <c r="EF64" s="1143" t="s">
        <v>344</v>
      </c>
      <c r="EG64" s="1144"/>
      <c r="EH64" s="1143" t="s">
        <v>344</v>
      </c>
      <c r="EI64" s="1144"/>
      <c r="EJ64" s="1143" t="s">
        <v>344</v>
      </c>
      <c r="EK64" s="1144"/>
      <c r="EL64" s="1143" t="s">
        <v>344</v>
      </c>
      <c r="EM64" s="1144"/>
      <c r="EN64" s="1143" t="s">
        <v>344</v>
      </c>
      <c r="EO64" s="1144"/>
      <c r="EP64" s="1143" t="s">
        <v>344</v>
      </c>
      <c r="EQ64" s="1144"/>
      <c r="ER64" s="1143" t="s">
        <v>344</v>
      </c>
      <c r="ES64" s="1144"/>
      <c r="ET64" s="1143" t="s">
        <v>344</v>
      </c>
      <c r="EU64" s="1144"/>
      <c r="EV64" s="1143" t="s">
        <v>344</v>
      </c>
      <c r="EW64" s="1144"/>
      <c r="EX64" s="1143" t="s">
        <v>344</v>
      </c>
      <c r="EY64" s="1144"/>
      <c r="EZ64" s="1143" t="s">
        <v>344</v>
      </c>
      <c r="FA64" s="1144"/>
      <c r="FB64" s="1143" t="s">
        <v>344</v>
      </c>
      <c r="FC64" s="1144"/>
      <c r="FD64" s="1143" t="s">
        <v>344</v>
      </c>
      <c r="FE64" s="1144"/>
      <c r="FF64" s="1143" t="s">
        <v>344</v>
      </c>
      <c r="FG64" s="1144"/>
      <c r="FH64" s="1146" t="s">
        <v>344</v>
      </c>
      <c r="FI64" s="1041"/>
      <c r="FJ64" s="1209"/>
      <c r="FK64" s="1140"/>
      <c r="FL64" s="1140"/>
      <c r="FM64" s="1140"/>
      <c r="FN64" s="1140"/>
      <c r="FO64" s="1141"/>
      <c r="FP64" s="1147" t="s">
        <v>43</v>
      </c>
      <c r="FQ64" s="1145" t="s">
        <v>345</v>
      </c>
      <c r="FR64" s="1143" t="s">
        <v>344</v>
      </c>
      <c r="FS64" s="1148" t="s">
        <v>43</v>
      </c>
      <c r="FT64" s="1145" t="s">
        <v>345</v>
      </c>
      <c r="FU64" s="1149" t="s">
        <v>344</v>
      </c>
      <c r="FV64" s="1150" t="s">
        <v>43</v>
      </c>
      <c r="FW64" s="1143" t="s">
        <v>344</v>
      </c>
      <c r="FX64" s="1148" t="s">
        <v>43</v>
      </c>
      <c r="FY64" s="1143" t="s">
        <v>344</v>
      </c>
      <c r="FZ64" s="1148" t="s">
        <v>43</v>
      </c>
      <c r="GA64" s="1143" t="s">
        <v>344</v>
      </c>
      <c r="GB64" s="1148" t="s">
        <v>43</v>
      </c>
      <c r="GC64" s="1143" t="s">
        <v>344</v>
      </c>
      <c r="GD64" s="1148" t="s">
        <v>43</v>
      </c>
      <c r="GE64" s="1146" t="s">
        <v>344</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665</v>
      </c>
      <c r="FK66" s="1190"/>
      <c r="FL66" s="1229"/>
      <c r="FM66" s="1230" t="s">
        <v>666</v>
      </c>
      <c r="FN66" s="1231"/>
      <c r="FO66" s="1191"/>
      <c r="FP66" s="1197">
        <v>9</v>
      </c>
      <c r="FQ66" s="1232">
        <v>5.19</v>
      </c>
      <c r="FR66" s="1233">
        <v>0.7</v>
      </c>
      <c r="FS66" s="1200">
        <v>9</v>
      </c>
      <c r="FT66" s="1232">
        <v>3.49</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346</v>
      </c>
      <c r="B68" s="1241"/>
      <c r="C68" s="1241"/>
      <c r="D68" s="1241"/>
      <c r="E68" s="814"/>
      <c r="F68" s="814"/>
      <c r="G68" s="1242" t="s">
        <v>351</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346</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346</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346</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271</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273</v>
      </c>
      <c r="AY1" s="376" t="s">
        <v>589</v>
      </c>
      <c r="AZ1" s="376"/>
      <c r="BA1" s="376"/>
      <c r="BB1" s="379"/>
      <c r="BC1" s="380"/>
      <c r="BD1" s="375" t="s">
        <v>271</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273</v>
      </c>
      <c r="DB1" s="376" t="str">
        <f>$AY1</f>
        <v>9時-18時</v>
      </c>
      <c r="DC1" s="378"/>
      <c r="DD1" s="376"/>
      <c r="DE1" s="379"/>
      <c r="DF1" s="380"/>
      <c r="DG1" s="375" t="s">
        <v>271</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273</v>
      </c>
      <c r="FE1" s="376" t="str">
        <f>$AY1</f>
        <v>9時-18時</v>
      </c>
      <c r="FF1" s="378"/>
      <c r="FG1" s="376"/>
      <c r="FH1" s="379"/>
      <c r="FI1" s="381"/>
      <c r="FJ1" s="375" t="s">
        <v>271</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432</v>
      </c>
      <c r="GZ1" s="376" t="s">
        <v>352</v>
      </c>
      <c r="HA1" s="376"/>
      <c r="HB1" s="379"/>
      <c r="HC1" s="1448" t="s">
        <v>433</v>
      </c>
      <c r="HD1" s="382"/>
      <c r="HE1" s="383"/>
      <c r="HF1" s="382"/>
      <c r="HG1" s="1446"/>
      <c r="HH1" s="384" t="s">
        <v>274</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359</v>
      </c>
      <c r="B3" s="395">
        <v>208</v>
      </c>
      <c r="C3" s="396" t="s">
        <v>592</v>
      </c>
      <c r="D3" s="397" t="s">
        <v>593</v>
      </c>
      <c r="E3" s="397"/>
      <c r="F3" s="397"/>
      <c r="G3" s="397"/>
      <c r="H3" s="397"/>
      <c r="I3" s="397"/>
      <c r="J3" s="398"/>
      <c r="K3" s="399" t="s">
        <v>363</v>
      </c>
      <c r="L3" s="400"/>
      <c r="M3" s="399" t="s">
        <v>364</v>
      </c>
      <c r="N3" s="400"/>
      <c r="O3" s="401" t="s">
        <v>650</v>
      </c>
      <c r="P3" s="402"/>
      <c r="Q3" s="402"/>
      <c r="R3" s="402"/>
      <c r="S3" s="402"/>
      <c r="T3" s="402"/>
      <c r="U3" s="402"/>
      <c r="V3" s="403"/>
      <c r="W3" s="404" t="s">
        <v>365</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366</v>
      </c>
      <c r="BE3" s="395">
        <v>208</v>
      </c>
      <c r="BF3" s="396" t="s">
        <v>360</v>
      </c>
      <c r="BG3" s="408" t="s">
        <v>588</v>
      </c>
      <c r="BH3" s="408"/>
      <c r="BI3" s="408"/>
      <c r="BJ3" s="408"/>
      <c r="BK3" s="408"/>
      <c r="BL3" s="408"/>
      <c r="BM3" s="409"/>
      <c r="BN3" s="399" t="s">
        <v>363</v>
      </c>
      <c r="BO3" s="400"/>
      <c r="BP3" s="399" t="s">
        <v>364</v>
      </c>
      <c r="BQ3" s="400"/>
      <c r="BR3" s="401" t="s">
        <v>696</v>
      </c>
      <c r="BS3" s="402"/>
      <c r="BT3" s="402"/>
      <c r="BU3" s="402"/>
      <c r="BV3" s="402"/>
      <c r="BW3" s="402"/>
      <c r="BX3" s="402"/>
      <c r="BY3" s="403"/>
      <c r="BZ3" s="404" t="s">
        <v>365</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366</v>
      </c>
      <c r="DH3" s="395">
        <v>208</v>
      </c>
      <c r="DI3" s="396" t="s">
        <v>360</v>
      </c>
      <c r="DJ3" s="408" t="s">
        <v>588</v>
      </c>
      <c r="DK3" s="408"/>
      <c r="DL3" s="408"/>
      <c r="DM3" s="408"/>
      <c r="DN3" s="408"/>
      <c r="DO3" s="408"/>
      <c r="DP3" s="409"/>
      <c r="DQ3" s="399" t="s">
        <v>363</v>
      </c>
      <c r="DR3" s="400"/>
      <c r="DS3" s="399" t="s">
        <v>364</v>
      </c>
      <c r="DT3" s="400"/>
      <c r="DU3" s="401" t="s">
        <v>650</v>
      </c>
      <c r="DV3" s="402"/>
      <c r="DW3" s="402"/>
      <c r="DX3" s="402"/>
      <c r="DY3" s="402"/>
      <c r="DZ3" s="402"/>
      <c r="EA3" s="402"/>
      <c r="EB3" s="403"/>
      <c r="EC3" s="404" t="s">
        <v>365</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366</v>
      </c>
      <c r="FK3" s="395">
        <v>208</v>
      </c>
      <c r="FL3" s="396" t="s">
        <v>360</v>
      </c>
      <c r="FM3" s="408" t="s">
        <v>588</v>
      </c>
      <c r="FN3" s="408"/>
      <c r="FO3" s="408"/>
      <c r="FP3" s="408"/>
      <c r="FQ3" s="408"/>
      <c r="FR3" s="408"/>
      <c r="FS3" s="409"/>
      <c r="FT3" s="399" t="s">
        <v>363</v>
      </c>
      <c r="FU3" s="400"/>
      <c r="FV3" s="399" t="s">
        <v>364</v>
      </c>
      <c r="FW3" s="400"/>
      <c r="FX3" s="401" t="s">
        <v>658</v>
      </c>
      <c r="FY3" s="402"/>
      <c r="FZ3" s="402"/>
      <c r="GA3" s="402"/>
      <c r="GB3" s="402"/>
      <c r="GC3" s="402"/>
      <c r="GD3" s="402"/>
      <c r="GE3" s="403"/>
      <c r="GF3" s="404" t="s">
        <v>365</v>
      </c>
      <c r="GG3" s="405"/>
      <c r="GH3" s="406"/>
      <c r="GI3" s="410"/>
      <c r="GJ3" s="411" t="s">
        <v>434</v>
      </c>
      <c r="GK3" s="412"/>
      <c r="GL3" s="412"/>
      <c r="GM3" s="412"/>
      <c r="GN3" s="412"/>
      <c r="GO3" s="412"/>
      <c r="GP3" s="412"/>
      <c r="GQ3" s="412"/>
      <c r="GR3" s="413"/>
      <c r="GS3" s="414"/>
      <c r="GT3" s="411" t="s">
        <v>435</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367</v>
      </c>
      <c r="P4" s="426"/>
      <c r="Q4" s="427" t="s">
        <v>368</v>
      </c>
      <c r="R4" s="426"/>
      <c r="S4" s="428" t="s">
        <v>369</v>
      </c>
      <c r="T4" s="429"/>
      <c r="U4" s="430" t="s">
        <v>370</v>
      </c>
      <c r="V4" s="431"/>
      <c r="W4" s="432" t="s">
        <v>371</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367</v>
      </c>
      <c r="BS4" s="426"/>
      <c r="BT4" s="427" t="s">
        <v>368</v>
      </c>
      <c r="BU4" s="426"/>
      <c r="BV4" s="428" t="s">
        <v>369</v>
      </c>
      <c r="BW4" s="429"/>
      <c r="BX4" s="430" t="s">
        <v>370</v>
      </c>
      <c r="BY4" s="431"/>
      <c r="BZ4" s="432" t="s">
        <v>371</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367</v>
      </c>
      <c r="DV4" s="426"/>
      <c r="DW4" s="427" t="s">
        <v>368</v>
      </c>
      <c r="DX4" s="426"/>
      <c r="DY4" s="428" t="s">
        <v>369</v>
      </c>
      <c r="DZ4" s="429"/>
      <c r="EA4" s="430" t="s">
        <v>370</v>
      </c>
      <c r="EB4" s="431"/>
      <c r="EC4" s="432" t="s">
        <v>371</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367</v>
      </c>
      <c r="FY4" s="426"/>
      <c r="FZ4" s="427" t="s">
        <v>368</v>
      </c>
      <c r="GA4" s="426"/>
      <c r="GB4" s="428" t="s">
        <v>369</v>
      </c>
      <c r="GC4" s="429"/>
      <c r="GD4" s="430" t="s">
        <v>370</v>
      </c>
      <c r="GE4" s="431"/>
      <c r="GF4" s="432" t="s">
        <v>348</v>
      </c>
      <c r="GG4" s="433"/>
      <c r="GH4" s="434"/>
      <c r="GI4" s="410"/>
      <c r="GJ4" s="437"/>
      <c r="GK4" s="437"/>
      <c r="GL4" s="437"/>
      <c r="GM4" s="437"/>
      <c r="GN4" s="437"/>
      <c r="GO4" s="437"/>
      <c r="GP4" s="437"/>
      <c r="GQ4" s="437"/>
      <c r="GR4" s="437"/>
      <c r="GS4" s="414"/>
      <c r="GT4" s="437"/>
      <c r="GU4" s="437"/>
      <c r="GV4" s="437"/>
      <c r="GW4" s="437"/>
      <c r="GX4" s="437"/>
      <c r="GY4" s="437"/>
      <c r="GZ4" s="437"/>
      <c r="HA4" s="437"/>
      <c r="HB4" s="437"/>
      <c r="HC4" s="1449"/>
      <c r="HD4" s="438"/>
      <c r="HE4" s="438"/>
      <c r="HF4" s="501"/>
      <c r="HG4" s="387"/>
      <c r="MO4" s="393" t="s">
        <v>348</v>
      </c>
    </row>
    <row r="5" spans="1:353" ht="24.95" customHeight="1" thickBot="1">
      <c r="A5" s="439" t="s">
        <v>373</v>
      </c>
      <c r="B5" s="440">
        <v>2</v>
      </c>
      <c r="C5" s="441" t="s">
        <v>374</v>
      </c>
      <c r="D5" s="442">
        <v>53.3</v>
      </c>
      <c r="E5" s="443" t="s">
        <v>375</v>
      </c>
      <c r="F5" s="444">
        <v>2.8</v>
      </c>
      <c r="G5" s="445" t="s">
        <v>376</v>
      </c>
      <c r="H5" s="446"/>
      <c r="I5" s="447">
        <v>149.29999999999998</v>
      </c>
      <c r="J5" s="448"/>
      <c r="K5" s="449">
        <v>110</v>
      </c>
      <c r="L5" s="450"/>
      <c r="M5" s="449">
        <v>50</v>
      </c>
      <c r="N5" s="450"/>
      <c r="O5" s="1442" t="s">
        <v>683</v>
      </c>
      <c r="P5" s="451"/>
      <c r="Q5" s="1443" t="s">
        <v>694</v>
      </c>
      <c r="R5" s="452"/>
      <c r="S5" s="1444" t="s">
        <v>695</v>
      </c>
      <c r="T5" s="453"/>
      <c r="U5" s="1445" t="s">
        <v>674</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373</v>
      </c>
      <c r="BE5" s="440">
        <v>2</v>
      </c>
      <c r="BF5" s="441" t="s">
        <v>276</v>
      </c>
      <c r="BG5" s="442">
        <v>53.3</v>
      </c>
      <c r="BH5" s="443" t="s">
        <v>375</v>
      </c>
      <c r="BI5" s="444">
        <v>2.8</v>
      </c>
      <c r="BJ5" s="445" t="s">
        <v>376</v>
      </c>
      <c r="BK5" s="446"/>
      <c r="BL5" s="447">
        <v>149.29999999999998</v>
      </c>
      <c r="BM5" s="448"/>
      <c r="BN5" s="449">
        <v>110</v>
      </c>
      <c r="BO5" s="450"/>
      <c r="BP5" s="449">
        <v>50</v>
      </c>
      <c r="BQ5" s="450"/>
      <c r="BR5" s="1442" t="s">
        <v>651</v>
      </c>
      <c r="BS5" s="451"/>
      <c r="BT5" s="1443" t="s">
        <v>687</v>
      </c>
      <c r="BU5" s="452"/>
      <c r="BV5" s="1444" t="s">
        <v>676</v>
      </c>
      <c r="BW5" s="453"/>
      <c r="BX5" s="1445" t="s">
        <v>674</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373</v>
      </c>
      <c r="DH5" s="440">
        <v>2</v>
      </c>
      <c r="DI5" s="441" t="s">
        <v>276</v>
      </c>
      <c r="DJ5" s="442">
        <v>53.3</v>
      </c>
      <c r="DK5" s="443" t="s">
        <v>375</v>
      </c>
      <c r="DL5" s="444">
        <v>2.8</v>
      </c>
      <c r="DM5" s="445" t="s">
        <v>376</v>
      </c>
      <c r="DN5" s="446"/>
      <c r="DO5" s="447">
        <v>149.29999999999998</v>
      </c>
      <c r="DP5" s="448"/>
      <c r="DQ5" s="449">
        <v>110</v>
      </c>
      <c r="DR5" s="450"/>
      <c r="DS5" s="449">
        <v>50</v>
      </c>
      <c r="DT5" s="450"/>
      <c r="DU5" s="1442" t="s">
        <v>651</v>
      </c>
      <c r="DV5" s="451"/>
      <c r="DW5" s="1443" t="s">
        <v>672</v>
      </c>
      <c r="DX5" s="452"/>
      <c r="DY5" s="1444" t="s">
        <v>676</v>
      </c>
      <c r="DZ5" s="453"/>
      <c r="EA5" s="1445" t="s">
        <v>674</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373</v>
      </c>
      <c r="FK5" s="440">
        <v>2</v>
      </c>
      <c r="FL5" s="441" t="s">
        <v>276</v>
      </c>
      <c r="FM5" s="442">
        <v>53.3</v>
      </c>
      <c r="FN5" s="443" t="s">
        <v>375</v>
      </c>
      <c r="FO5" s="444">
        <v>2.8</v>
      </c>
      <c r="FP5" s="445" t="s">
        <v>376</v>
      </c>
      <c r="FQ5" s="446"/>
      <c r="FR5" s="447">
        <v>149.29999999999998</v>
      </c>
      <c r="FS5" s="448"/>
      <c r="FT5" s="449">
        <v>110</v>
      </c>
      <c r="FU5" s="450"/>
      <c r="FV5" s="449">
        <v>50</v>
      </c>
      <c r="FW5" s="450"/>
      <c r="FX5" s="1442" t="s">
        <v>697</v>
      </c>
      <c r="FY5" s="451"/>
      <c r="FZ5" s="1443" t="s">
        <v>698</v>
      </c>
      <c r="GA5" s="452"/>
      <c r="GB5" s="1444" t="s">
        <v>699</v>
      </c>
      <c r="GC5" s="453"/>
      <c r="GD5" s="1445" t="s">
        <v>657</v>
      </c>
      <c r="GE5" s="454"/>
      <c r="GF5" s="455"/>
      <c r="GG5" s="456"/>
      <c r="GH5" s="457"/>
      <c r="GI5" s="459"/>
      <c r="GJ5" s="410"/>
      <c r="GK5" s="460" t="s">
        <v>436</v>
      </c>
      <c r="GL5" s="460"/>
      <c r="GM5" s="460"/>
      <c r="GN5" s="410" t="s">
        <v>437</v>
      </c>
      <c r="GO5" s="461"/>
      <c r="GP5" s="461"/>
      <c r="GQ5" s="461"/>
      <c r="GR5" s="410"/>
      <c r="GS5" s="410"/>
      <c r="GT5" s="414"/>
      <c r="GU5" s="460" t="s">
        <v>438</v>
      </c>
      <c r="GV5" s="460"/>
      <c r="GW5" s="460"/>
      <c r="GX5" s="410" t="s">
        <v>437</v>
      </c>
      <c r="GY5" s="461"/>
      <c r="GZ5" s="461"/>
      <c r="HA5" s="461"/>
      <c r="HB5" s="410"/>
      <c r="HC5" s="462"/>
      <c r="HD5" s="438"/>
      <c r="HE5" s="438"/>
      <c r="HF5" s="501"/>
      <c r="HG5" s="387"/>
    </row>
    <row r="6" spans="1:353" ht="20.100000000000001" customHeight="1" thickBot="1">
      <c r="A6" s="463" t="s">
        <v>377</v>
      </c>
      <c r="B6" s="464"/>
      <c r="C6" s="465" t="s">
        <v>378</v>
      </c>
      <c r="D6" s="465"/>
      <c r="E6" s="465"/>
      <c r="F6" s="466">
        <v>0</v>
      </c>
      <c r="G6" s="466"/>
      <c r="H6" s="465" t="s">
        <v>379</v>
      </c>
      <c r="I6" s="465"/>
      <c r="J6" s="465"/>
      <c r="K6" s="465"/>
      <c r="L6" s="465"/>
      <c r="M6" s="467">
        <v>0</v>
      </c>
      <c r="N6" s="467"/>
      <c r="O6" s="468"/>
      <c r="P6" s="469"/>
      <c r="Q6" s="469" t="s">
        <v>380</v>
      </c>
      <c r="R6" s="470">
        <v>0</v>
      </c>
      <c r="S6" s="470"/>
      <c r="T6" s="471"/>
      <c r="U6" s="472" t="s">
        <v>381</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383</v>
      </c>
      <c r="BC6" s="476"/>
      <c r="BD6" s="463" t="s">
        <v>377</v>
      </c>
      <c r="BE6" s="464"/>
      <c r="BF6" s="465" t="s">
        <v>378</v>
      </c>
      <c r="BG6" s="465"/>
      <c r="BH6" s="465"/>
      <c r="BI6" s="466">
        <v>0</v>
      </c>
      <c r="BJ6" s="466"/>
      <c r="BK6" s="465" t="s">
        <v>379</v>
      </c>
      <c r="BL6" s="465"/>
      <c r="BM6" s="465"/>
      <c r="BN6" s="465"/>
      <c r="BO6" s="465"/>
      <c r="BP6" s="467">
        <v>0</v>
      </c>
      <c r="BQ6" s="467"/>
      <c r="BR6" s="468"/>
      <c r="BS6" s="469"/>
      <c r="BT6" s="469" t="s">
        <v>277</v>
      </c>
      <c r="BU6" s="470">
        <v>0</v>
      </c>
      <c r="BV6" s="470"/>
      <c r="BW6" s="471"/>
      <c r="BX6" s="472" t="s">
        <v>278</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385</v>
      </c>
      <c r="DF6" s="478"/>
      <c r="DG6" s="463" t="s">
        <v>377</v>
      </c>
      <c r="DH6" s="464"/>
      <c r="DI6" s="465" t="s">
        <v>378</v>
      </c>
      <c r="DJ6" s="465"/>
      <c r="DK6" s="465"/>
      <c r="DL6" s="466">
        <v>0</v>
      </c>
      <c r="DM6" s="466"/>
      <c r="DN6" s="465" t="s">
        <v>379</v>
      </c>
      <c r="DO6" s="465"/>
      <c r="DP6" s="465"/>
      <c r="DQ6" s="465"/>
      <c r="DR6" s="465"/>
      <c r="DS6" s="467">
        <v>0</v>
      </c>
      <c r="DT6" s="467"/>
      <c r="DU6" s="468"/>
      <c r="DV6" s="469"/>
      <c r="DW6" s="469" t="s">
        <v>277</v>
      </c>
      <c r="DX6" s="470">
        <v>0</v>
      </c>
      <c r="DY6" s="470"/>
      <c r="DZ6" s="471"/>
      <c r="EA6" s="472" t="s">
        <v>278</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387</v>
      </c>
      <c r="FI6" s="478"/>
      <c r="FJ6" s="463" t="s">
        <v>388</v>
      </c>
      <c r="FK6" s="464"/>
      <c r="FL6" s="465" t="s">
        <v>378</v>
      </c>
      <c r="FM6" s="465"/>
      <c r="FN6" s="465"/>
      <c r="FO6" s="466">
        <v>0</v>
      </c>
      <c r="FP6" s="466"/>
      <c r="FQ6" s="465" t="s">
        <v>379</v>
      </c>
      <c r="FR6" s="465"/>
      <c r="FS6" s="465"/>
      <c r="FT6" s="465"/>
      <c r="FU6" s="465"/>
      <c r="FV6" s="467">
        <v>0</v>
      </c>
      <c r="FW6" s="467"/>
      <c r="FX6" s="468"/>
      <c r="FY6" s="469"/>
      <c r="FZ6" s="469" t="s">
        <v>389</v>
      </c>
      <c r="GA6" s="470">
        <v>0</v>
      </c>
      <c r="GB6" s="470"/>
      <c r="GC6" s="471"/>
      <c r="GD6" s="472" t="s">
        <v>390</v>
      </c>
      <c r="GE6" s="473">
        <v>0</v>
      </c>
      <c r="GF6" s="473"/>
      <c r="GG6" s="474"/>
      <c r="GH6" s="469"/>
      <c r="GI6" s="469"/>
      <c r="GJ6" s="480"/>
      <c r="GK6" s="481" t="s">
        <v>439</v>
      </c>
      <c r="GL6" s="481"/>
      <c r="GM6" s="481"/>
      <c r="GN6" s="482">
        <v>2</v>
      </c>
      <c r="GO6" s="483"/>
      <c r="GP6" s="483"/>
      <c r="GQ6" s="483"/>
      <c r="GR6" s="480"/>
      <c r="GS6" s="480"/>
      <c r="GT6" s="414"/>
      <c r="GU6" s="481" t="s">
        <v>440</v>
      </c>
      <c r="GV6" s="481"/>
      <c r="GW6" s="481"/>
      <c r="GX6" s="482">
        <v>2</v>
      </c>
      <c r="GY6" s="414"/>
      <c r="GZ6" s="414"/>
      <c r="HA6" s="483"/>
      <c r="HB6" s="483"/>
      <c r="HC6" s="484"/>
      <c r="HD6" s="438"/>
      <c r="HE6" s="438"/>
      <c r="HF6" s="501"/>
      <c r="HG6" s="387"/>
    </row>
    <row r="7" spans="1:353" ht="20.100000000000001" customHeight="1">
      <c r="A7" s="485" t="s">
        <v>279</v>
      </c>
      <c r="B7" s="486"/>
      <c r="C7" s="486"/>
      <c r="D7" s="486"/>
      <c r="E7" s="486"/>
      <c r="F7" s="487"/>
      <c r="G7" s="488" t="s">
        <v>280</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279</v>
      </c>
      <c r="BE7" s="486"/>
      <c r="BF7" s="486"/>
      <c r="BG7" s="486"/>
      <c r="BH7" s="486"/>
      <c r="BI7" s="487"/>
      <c r="BJ7" s="488" t="s">
        <v>281</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279</v>
      </c>
      <c r="DH7" s="486"/>
      <c r="DI7" s="486"/>
      <c r="DJ7" s="486"/>
      <c r="DK7" s="486"/>
      <c r="DL7" s="487"/>
      <c r="DM7" s="488" t="s">
        <v>282</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279</v>
      </c>
      <c r="FK7" s="486"/>
      <c r="FL7" s="486"/>
      <c r="FM7" s="486"/>
      <c r="FN7" s="486"/>
      <c r="FO7" s="487"/>
      <c r="FP7" s="491" t="s">
        <v>283</v>
      </c>
      <c r="FQ7" s="492"/>
      <c r="FR7" s="492"/>
      <c r="FS7" s="492"/>
      <c r="FT7" s="492"/>
      <c r="FU7" s="492"/>
      <c r="FV7" s="493" t="s">
        <v>284</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285</v>
      </c>
      <c r="FQ8" s="518"/>
      <c r="FR8" s="519"/>
      <c r="FS8" s="520" t="s">
        <v>286</v>
      </c>
      <c r="FT8" s="520"/>
      <c r="FU8" s="521"/>
      <c r="FV8" s="522"/>
      <c r="FW8" s="523"/>
      <c r="FX8" s="523"/>
      <c r="FY8" s="523"/>
      <c r="FZ8" s="523"/>
      <c r="GA8" s="523"/>
      <c r="GB8" s="523"/>
      <c r="GC8" s="523"/>
      <c r="GD8" s="523"/>
      <c r="GE8" s="524"/>
      <c r="GF8" s="496"/>
      <c r="GG8" s="480"/>
      <c r="GH8" s="480"/>
      <c r="GI8" s="480"/>
      <c r="GJ8" s="525" t="s">
        <v>417</v>
      </c>
      <c r="GK8" s="525"/>
      <c r="GL8" s="526"/>
      <c r="GM8" s="527"/>
      <c r="GN8" s="526"/>
      <c r="GO8" s="527"/>
      <c r="GP8" s="526"/>
      <c r="GQ8" s="526"/>
      <c r="GR8" s="526"/>
      <c r="GS8" s="526"/>
      <c r="GT8" s="525" t="s">
        <v>417</v>
      </c>
      <c r="GU8" s="525"/>
      <c r="GV8" s="414"/>
      <c r="GW8" s="480"/>
      <c r="GX8" s="483"/>
      <c r="GY8" s="480"/>
      <c r="GZ8" s="483"/>
      <c r="HA8" s="527"/>
      <c r="HB8" s="527"/>
      <c r="HC8" s="527"/>
      <c r="HD8" s="438"/>
      <c r="HE8" s="438"/>
      <c r="HF8" s="1447"/>
      <c r="HG8" s="1447"/>
    </row>
    <row r="9" spans="1:353" ht="22.5" customHeight="1">
      <c r="A9" s="529" t="s">
        <v>287</v>
      </c>
      <c r="B9" s="530" t="s">
        <v>288</v>
      </c>
      <c r="C9" s="531" t="s">
        <v>289</v>
      </c>
      <c r="D9" s="531" t="s">
        <v>573</v>
      </c>
      <c r="E9" s="532" t="s">
        <v>574</v>
      </c>
      <c r="F9" s="533" t="s">
        <v>292</v>
      </c>
      <c r="G9" s="534" t="s">
        <v>575</v>
      </c>
      <c r="H9" s="535" t="s">
        <v>576</v>
      </c>
      <c r="I9" s="536" t="s">
        <v>295</v>
      </c>
      <c r="J9" s="535" t="s">
        <v>576</v>
      </c>
      <c r="K9" s="536" t="s">
        <v>295</v>
      </c>
      <c r="L9" s="535" t="s">
        <v>576</v>
      </c>
      <c r="M9" s="536" t="s">
        <v>295</v>
      </c>
      <c r="N9" s="535" t="s">
        <v>576</v>
      </c>
      <c r="O9" s="536" t="s">
        <v>295</v>
      </c>
      <c r="P9" s="535" t="s">
        <v>576</v>
      </c>
      <c r="Q9" s="536" t="s">
        <v>295</v>
      </c>
      <c r="R9" s="535" t="s">
        <v>576</v>
      </c>
      <c r="S9" s="536" t="s">
        <v>295</v>
      </c>
      <c r="T9" s="535" t="s">
        <v>576</v>
      </c>
      <c r="U9" s="536" t="s">
        <v>295</v>
      </c>
      <c r="V9" s="535" t="s">
        <v>576</v>
      </c>
      <c r="W9" s="536" t="s">
        <v>295</v>
      </c>
      <c r="X9" s="535" t="s">
        <v>576</v>
      </c>
      <c r="Y9" s="536" t="s">
        <v>295</v>
      </c>
      <c r="Z9" s="535" t="s">
        <v>576</v>
      </c>
      <c r="AA9" s="536" t="s">
        <v>295</v>
      </c>
      <c r="AB9" s="535" t="s">
        <v>576</v>
      </c>
      <c r="AC9" s="536" t="s">
        <v>295</v>
      </c>
      <c r="AD9" s="535" t="s">
        <v>576</v>
      </c>
      <c r="AE9" s="536" t="s">
        <v>295</v>
      </c>
      <c r="AF9" s="535" t="s">
        <v>576</v>
      </c>
      <c r="AG9" s="536" t="s">
        <v>295</v>
      </c>
      <c r="AH9" s="535" t="s">
        <v>576</v>
      </c>
      <c r="AI9" s="536" t="s">
        <v>295</v>
      </c>
      <c r="AJ9" s="535" t="s">
        <v>576</v>
      </c>
      <c r="AK9" s="536" t="s">
        <v>295</v>
      </c>
      <c r="AL9" s="535" t="s">
        <v>576</v>
      </c>
      <c r="AM9" s="536" t="s">
        <v>295</v>
      </c>
      <c r="AN9" s="535" t="s">
        <v>576</v>
      </c>
      <c r="AO9" s="536" t="s">
        <v>295</v>
      </c>
      <c r="AP9" s="535" t="s">
        <v>576</v>
      </c>
      <c r="AQ9" s="536" t="s">
        <v>295</v>
      </c>
      <c r="AR9" s="535" t="s">
        <v>576</v>
      </c>
      <c r="AS9" s="536" t="s">
        <v>295</v>
      </c>
      <c r="AT9" s="535" t="s">
        <v>576</v>
      </c>
      <c r="AU9" s="536" t="s">
        <v>295</v>
      </c>
      <c r="AV9" s="535" t="s">
        <v>576</v>
      </c>
      <c r="AW9" s="536" t="s">
        <v>295</v>
      </c>
      <c r="AX9" s="535" t="s">
        <v>576</v>
      </c>
      <c r="AY9" s="536" t="s">
        <v>295</v>
      </c>
      <c r="AZ9" s="535" t="s">
        <v>576</v>
      </c>
      <c r="BA9" s="536" t="s">
        <v>295</v>
      </c>
      <c r="BB9" s="537" t="s">
        <v>297</v>
      </c>
      <c r="BC9" s="500"/>
      <c r="BD9" s="529" t="s">
        <v>287</v>
      </c>
      <c r="BE9" s="530" t="s">
        <v>288</v>
      </c>
      <c r="BF9" s="531" t="s">
        <v>289</v>
      </c>
      <c r="BG9" s="531" t="s">
        <v>573</v>
      </c>
      <c r="BH9" s="532" t="s">
        <v>574</v>
      </c>
      <c r="BI9" s="533" t="s">
        <v>292</v>
      </c>
      <c r="BJ9" s="534" t="s">
        <v>575</v>
      </c>
      <c r="BK9" s="535" t="s">
        <v>576</v>
      </c>
      <c r="BL9" s="536" t="s">
        <v>295</v>
      </c>
      <c r="BM9" s="535" t="s">
        <v>576</v>
      </c>
      <c r="BN9" s="536" t="s">
        <v>295</v>
      </c>
      <c r="BO9" s="535" t="s">
        <v>576</v>
      </c>
      <c r="BP9" s="536" t="s">
        <v>295</v>
      </c>
      <c r="BQ9" s="535" t="s">
        <v>576</v>
      </c>
      <c r="BR9" s="536" t="s">
        <v>295</v>
      </c>
      <c r="BS9" s="535" t="s">
        <v>576</v>
      </c>
      <c r="BT9" s="536" t="s">
        <v>295</v>
      </c>
      <c r="BU9" s="535" t="s">
        <v>576</v>
      </c>
      <c r="BV9" s="536" t="s">
        <v>295</v>
      </c>
      <c r="BW9" s="535" t="s">
        <v>576</v>
      </c>
      <c r="BX9" s="536" t="s">
        <v>295</v>
      </c>
      <c r="BY9" s="535" t="s">
        <v>576</v>
      </c>
      <c r="BZ9" s="536" t="s">
        <v>295</v>
      </c>
      <c r="CA9" s="535" t="s">
        <v>576</v>
      </c>
      <c r="CB9" s="536" t="s">
        <v>295</v>
      </c>
      <c r="CC9" s="535" t="s">
        <v>576</v>
      </c>
      <c r="CD9" s="536" t="s">
        <v>295</v>
      </c>
      <c r="CE9" s="535" t="s">
        <v>576</v>
      </c>
      <c r="CF9" s="536" t="s">
        <v>295</v>
      </c>
      <c r="CG9" s="535" t="s">
        <v>576</v>
      </c>
      <c r="CH9" s="536" t="s">
        <v>295</v>
      </c>
      <c r="CI9" s="535" t="s">
        <v>576</v>
      </c>
      <c r="CJ9" s="536" t="s">
        <v>295</v>
      </c>
      <c r="CK9" s="535" t="s">
        <v>576</v>
      </c>
      <c r="CL9" s="536" t="s">
        <v>295</v>
      </c>
      <c r="CM9" s="535" t="s">
        <v>576</v>
      </c>
      <c r="CN9" s="536" t="s">
        <v>295</v>
      </c>
      <c r="CO9" s="535" t="s">
        <v>576</v>
      </c>
      <c r="CP9" s="536" t="s">
        <v>295</v>
      </c>
      <c r="CQ9" s="535" t="s">
        <v>576</v>
      </c>
      <c r="CR9" s="536" t="s">
        <v>295</v>
      </c>
      <c r="CS9" s="535" t="s">
        <v>576</v>
      </c>
      <c r="CT9" s="536" t="s">
        <v>295</v>
      </c>
      <c r="CU9" s="535" t="s">
        <v>576</v>
      </c>
      <c r="CV9" s="536" t="s">
        <v>295</v>
      </c>
      <c r="CW9" s="535" t="s">
        <v>576</v>
      </c>
      <c r="CX9" s="536" t="s">
        <v>295</v>
      </c>
      <c r="CY9" s="535" t="s">
        <v>576</v>
      </c>
      <c r="CZ9" s="536" t="s">
        <v>295</v>
      </c>
      <c r="DA9" s="535" t="s">
        <v>576</v>
      </c>
      <c r="DB9" s="536" t="s">
        <v>295</v>
      </c>
      <c r="DC9" s="535" t="s">
        <v>576</v>
      </c>
      <c r="DD9" s="536" t="s">
        <v>295</v>
      </c>
      <c r="DE9" s="537" t="s">
        <v>297</v>
      </c>
      <c r="DF9" s="500"/>
      <c r="DG9" s="529" t="s">
        <v>287</v>
      </c>
      <c r="DH9" s="530" t="s">
        <v>288</v>
      </c>
      <c r="DI9" s="531" t="s">
        <v>289</v>
      </c>
      <c r="DJ9" s="531" t="s">
        <v>573</v>
      </c>
      <c r="DK9" s="532" t="s">
        <v>574</v>
      </c>
      <c r="DL9" s="533" t="s">
        <v>292</v>
      </c>
      <c r="DM9" s="534" t="s">
        <v>575</v>
      </c>
      <c r="DN9" s="535" t="s">
        <v>576</v>
      </c>
      <c r="DO9" s="536" t="s">
        <v>295</v>
      </c>
      <c r="DP9" s="535" t="s">
        <v>576</v>
      </c>
      <c r="DQ9" s="536" t="s">
        <v>295</v>
      </c>
      <c r="DR9" s="535" t="s">
        <v>576</v>
      </c>
      <c r="DS9" s="536" t="s">
        <v>295</v>
      </c>
      <c r="DT9" s="535" t="s">
        <v>576</v>
      </c>
      <c r="DU9" s="536" t="s">
        <v>295</v>
      </c>
      <c r="DV9" s="535" t="s">
        <v>576</v>
      </c>
      <c r="DW9" s="536" t="s">
        <v>295</v>
      </c>
      <c r="DX9" s="535" t="s">
        <v>576</v>
      </c>
      <c r="DY9" s="536" t="s">
        <v>295</v>
      </c>
      <c r="DZ9" s="535" t="s">
        <v>576</v>
      </c>
      <c r="EA9" s="536" t="s">
        <v>295</v>
      </c>
      <c r="EB9" s="535" t="s">
        <v>576</v>
      </c>
      <c r="EC9" s="536" t="s">
        <v>295</v>
      </c>
      <c r="ED9" s="535" t="s">
        <v>576</v>
      </c>
      <c r="EE9" s="536" t="s">
        <v>295</v>
      </c>
      <c r="EF9" s="535" t="s">
        <v>576</v>
      </c>
      <c r="EG9" s="536" t="s">
        <v>295</v>
      </c>
      <c r="EH9" s="535" t="s">
        <v>576</v>
      </c>
      <c r="EI9" s="536" t="s">
        <v>295</v>
      </c>
      <c r="EJ9" s="535" t="s">
        <v>576</v>
      </c>
      <c r="EK9" s="536" t="s">
        <v>295</v>
      </c>
      <c r="EL9" s="535" t="s">
        <v>576</v>
      </c>
      <c r="EM9" s="536" t="s">
        <v>295</v>
      </c>
      <c r="EN9" s="535" t="s">
        <v>576</v>
      </c>
      <c r="EO9" s="536" t="s">
        <v>295</v>
      </c>
      <c r="EP9" s="535" t="s">
        <v>576</v>
      </c>
      <c r="EQ9" s="536" t="s">
        <v>295</v>
      </c>
      <c r="ER9" s="535" t="s">
        <v>576</v>
      </c>
      <c r="ES9" s="536" t="s">
        <v>295</v>
      </c>
      <c r="ET9" s="535" t="s">
        <v>576</v>
      </c>
      <c r="EU9" s="536" t="s">
        <v>295</v>
      </c>
      <c r="EV9" s="535" t="s">
        <v>576</v>
      </c>
      <c r="EW9" s="536" t="s">
        <v>295</v>
      </c>
      <c r="EX9" s="535" t="s">
        <v>576</v>
      </c>
      <c r="EY9" s="536" t="s">
        <v>295</v>
      </c>
      <c r="EZ9" s="535" t="s">
        <v>576</v>
      </c>
      <c r="FA9" s="536" t="s">
        <v>295</v>
      </c>
      <c r="FB9" s="535" t="s">
        <v>576</v>
      </c>
      <c r="FC9" s="536" t="s">
        <v>295</v>
      </c>
      <c r="FD9" s="535" t="s">
        <v>576</v>
      </c>
      <c r="FE9" s="536" t="s">
        <v>295</v>
      </c>
      <c r="FF9" s="535" t="s">
        <v>576</v>
      </c>
      <c r="FG9" s="536" t="s">
        <v>295</v>
      </c>
      <c r="FH9" s="537" t="s">
        <v>297</v>
      </c>
      <c r="FI9" s="538"/>
      <c r="FJ9" s="539" t="s">
        <v>287</v>
      </c>
      <c r="FK9" s="530" t="s">
        <v>288</v>
      </c>
      <c r="FL9" s="531" t="s">
        <v>289</v>
      </c>
      <c r="FM9" s="531" t="s">
        <v>573</v>
      </c>
      <c r="FN9" s="532" t="s">
        <v>574</v>
      </c>
      <c r="FO9" s="533" t="s">
        <v>292</v>
      </c>
      <c r="FP9" s="540" t="s">
        <v>43</v>
      </c>
      <c r="FQ9" s="541" t="s">
        <v>295</v>
      </c>
      <c r="FR9" s="535" t="s">
        <v>297</v>
      </c>
      <c r="FS9" s="542" t="s">
        <v>43</v>
      </c>
      <c r="FT9" s="541" t="s">
        <v>295</v>
      </c>
      <c r="FU9" s="535" t="s">
        <v>297</v>
      </c>
      <c r="FV9" s="522"/>
      <c r="FW9" s="523"/>
      <c r="FX9" s="523"/>
      <c r="FY9" s="523"/>
      <c r="FZ9" s="523"/>
      <c r="GA9" s="523"/>
      <c r="GB9" s="523"/>
      <c r="GC9" s="523"/>
      <c r="GD9" s="543"/>
      <c r="GE9" s="544"/>
      <c r="GF9" s="496"/>
      <c r="GG9" s="545"/>
      <c r="GH9" s="545"/>
      <c r="GI9" s="545"/>
      <c r="GJ9" s="526"/>
      <c r="GK9" s="527" t="s">
        <v>441</v>
      </c>
      <c r="GL9" s="526"/>
      <c r="GM9" s="527"/>
      <c r="GN9" s="526"/>
      <c r="GO9" s="546">
        <v>0.92</v>
      </c>
      <c r="GP9" s="526"/>
      <c r="GQ9" s="526"/>
      <c r="GR9" s="526"/>
      <c r="GS9" s="526"/>
      <c r="GT9" s="547"/>
      <c r="GU9" s="480" t="s">
        <v>442</v>
      </c>
      <c r="GV9" s="414"/>
      <c r="GW9" s="480"/>
      <c r="GX9" s="548">
        <v>1</v>
      </c>
      <c r="GY9" s="480"/>
      <c r="GZ9" s="483"/>
      <c r="HA9" s="527"/>
      <c r="HB9" s="527"/>
      <c r="HC9" s="527"/>
      <c r="HD9" s="438"/>
      <c r="HE9" s="438"/>
      <c r="HF9" s="1451"/>
      <c r="HG9" s="1451"/>
    </row>
    <row r="10" spans="1:353" ht="20.100000000000001" customHeight="1">
      <c r="A10" s="549"/>
      <c r="B10" s="550" t="s">
        <v>226</v>
      </c>
      <c r="C10" s="551" t="s">
        <v>69</v>
      </c>
      <c r="D10" s="552">
        <f>ROUND(5.4*0.85,2)</f>
        <v>4.59</v>
      </c>
      <c r="E10" s="550" t="s">
        <v>350</v>
      </c>
      <c r="F10" s="551" t="s">
        <v>185</v>
      </c>
      <c r="G10" s="553">
        <v>0</v>
      </c>
      <c r="H10" s="554">
        <f>ROUND(ROUND(5.4*0.85,2)*0.49*0,0)</f>
        <v>0</v>
      </c>
      <c r="I10" s="555">
        <v>0</v>
      </c>
      <c r="J10" s="556">
        <f>ROUND(ROUND(5.4*0.85,2)*0.49*0,0)</f>
        <v>0</v>
      </c>
      <c r="K10" s="557">
        <v>0</v>
      </c>
      <c r="L10" s="556">
        <f>ROUND(ROUND(5.4*0.85,2)*0.49*0,0)</f>
        <v>0</v>
      </c>
      <c r="M10" s="557">
        <v>0</v>
      </c>
      <c r="N10" s="556">
        <f>ROUND(ROUND(5.4*0.85,2)*0.49*0,0)</f>
        <v>0</v>
      </c>
      <c r="O10" s="557">
        <v>0</v>
      </c>
      <c r="P10" s="556">
        <f>ROUND(ROUND(5.4*0.85,2)*0.49*0,0)</f>
        <v>0</v>
      </c>
      <c r="Q10" s="557">
        <v>0</v>
      </c>
      <c r="R10" s="556">
        <f>ROUND(ROUND(5.4*0.85,2)*0.49*0,0)</f>
        <v>0</v>
      </c>
      <c r="S10" s="557">
        <v>0</v>
      </c>
      <c r="T10" s="556">
        <f>ROUND(ROUND(5.4*0.85,2)*0.49*0,0)</f>
        <v>0</v>
      </c>
      <c r="U10" s="557">
        <v>0</v>
      </c>
      <c r="V10" s="556">
        <f>ROUND(ROUND(5.4*0.85,2)*0.49*0,0)</f>
        <v>0</v>
      </c>
      <c r="W10" s="557">
        <v>116</v>
      </c>
      <c r="X10" s="556">
        <f>ROUND(ROUND(5.4*0.85,2)*0.49*116,0)</f>
        <v>261</v>
      </c>
      <c r="Y10" s="557">
        <v>130</v>
      </c>
      <c r="Z10" s="556">
        <f>ROUND(ROUND(5.4*0.85,2)*0.49*130,0)</f>
        <v>292</v>
      </c>
      <c r="AA10" s="557">
        <v>135</v>
      </c>
      <c r="AB10" s="556">
        <f>ROUND(ROUND(5.4*0.85,2)*0.49*135,0)</f>
        <v>304</v>
      </c>
      <c r="AC10" s="557">
        <v>136</v>
      </c>
      <c r="AD10" s="556">
        <f>ROUND(ROUND(5.4*0.85,2)*0.49*136,0)</f>
        <v>306</v>
      </c>
      <c r="AE10" s="557">
        <v>134</v>
      </c>
      <c r="AF10" s="556">
        <f>ROUND(ROUND(5.4*0.85,2)*0.49*134,0)</f>
        <v>301</v>
      </c>
      <c r="AG10" s="557">
        <v>125</v>
      </c>
      <c r="AH10" s="556">
        <f>ROUND(ROUND(5.4*0.85,2)*0.49*125,0)</f>
        <v>281</v>
      </c>
      <c r="AI10" s="557">
        <v>107</v>
      </c>
      <c r="AJ10" s="556">
        <f>ROUND(ROUND(5.4*0.85,2)*0.49*107,0)</f>
        <v>241</v>
      </c>
      <c r="AK10" s="557">
        <v>80</v>
      </c>
      <c r="AL10" s="556">
        <f>ROUND(ROUND(5.4*0.85,2)*0.49*80,0)</f>
        <v>180</v>
      </c>
      <c r="AM10" s="557">
        <v>50</v>
      </c>
      <c r="AN10" s="556">
        <f>ROUND(ROUND(5.4*0.85,2)*0.49*50,0)</f>
        <v>112</v>
      </c>
      <c r="AO10" s="557">
        <v>14</v>
      </c>
      <c r="AP10" s="556">
        <f>ROUND(ROUND(5.4*0.85,2)*0.49*14,0)</f>
        <v>31</v>
      </c>
      <c r="AQ10" s="557">
        <v>0</v>
      </c>
      <c r="AR10" s="556">
        <f>ROUND(ROUND(5.4*0.85,2)*0.49*0,0)</f>
        <v>0</v>
      </c>
      <c r="AS10" s="557">
        <v>0</v>
      </c>
      <c r="AT10" s="556">
        <f>ROUND(ROUND(5.4*0.85,2)*0.49*0,0)</f>
        <v>0</v>
      </c>
      <c r="AU10" s="557">
        <v>0</v>
      </c>
      <c r="AV10" s="556">
        <f>ROUND(ROUND(5.4*0.85,2)*0.49*0,0)</f>
        <v>0</v>
      </c>
      <c r="AW10" s="557">
        <v>0</v>
      </c>
      <c r="AX10" s="556">
        <f>ROUND(ROUND(5.4*0.85,2)*0.49*0,0)</f>
        <v>0</v>
      </c>
      <c r="AY10" s="557">
        <v>0</v>
      </c>
      <c r="AZ10" s="556">
        <f>ROUND(ROUND(5.4*0.85,2)*0.49*0,0)</f>
        <v>0</v>
      </c>
      <c r="BA10" s="557">
        <v>0</v>
      </c>
      <c r="BB10" s="558">
        <f>ROUND(ROUND(5.4*0.85,2)*0.49*0,0)</f>
        <v>0</v>
      </c>
      <c r="BC10" s="559"/>
      <c r="BD10" s="549"/>
      <c r="BE10" s="550"/>
      <c r="BF10" s="551"/>
      <c r="BG10" s="552"/>
      <c r="BH10" s="550"/>
      <c r="BI10" s="551"/>
      <c r="BJ10" s="553">
        <v>0</v>
      </c>
      <c r="BK10" s="554">
        <f>ROUND(ROUND(5.4*0.85,2)*0.49*0,0)</f>
        <v>0</v>
      </c>
      <c r="BL10" s="555">
        <v>0</v>
      </c>
      <c r="BM10" s="556">
        <f>ROUND(ROUND(5.4*0.85,2)*0.49*0,0)</f>
        <v>0</v>
      </c>
      <c r="BN10" s="557">
        <v>0</v>
      </c>
      <c r="BO10" s="556">
        <f>ROUND(ROUND(5.4*0.85,2)*0.49*0,0)</f>
        <v>0</v>
      </c>
      <c r="BP10" s="557">
        <v>0</v>
      </c>
      <c r="BQ10" s="556">
        <f>ROUND(ROUND(5.4*0.85,2)*0.49*0,0)</f>
        <v>0</v>
      </c>
      <c r="BR10" s="557">
        <v>0</v>
      </c>
      <c r="BS10" s="556">
        <f>ROUND(ROUND(5.4*0.85,2)*0.49*0,0)</f>
        <v>0</v>
      </c>
      <c r="BT10" s="557">
        <v>0</v>
      </c>
      <c r="BU10" s="556">
        <f>ROUND(ROUND(5.4*0.85,2)*0.49*0,0)</f>
        <v>0</v>
      </c>
      <c r="BV10" s="557">
        <v>0</v>
      </c>
      <c r="BW10" s="556">
        <f>ROUND(ROUND(5.4*0.85,2)*0.49*0,0)</f>
        <v>0</v>
      </c>
      <c r="BX10" s="557">
        <v>0</v>
      </c>
      <c r="BY10" s="556">
        <f>ROUND(ROUND(5.4*0.85,2)*0.49*0,0)</f>
        <v>0</v>
      </c>
      <c r="BZ10" s="557">
        <v>103</v>
      </c>
      <c r="CA10" s="556">
        <f>ROUND(ROUND(5.4*0.85,2)*0.49*103,0)</f>
        <v>232</v>
      </c>
      <c r="CB10" s="557">
        <v>110</v>
      </c>
      <c r="CC10" s="556">
        <f>ROUND(ROUND(5.4*0.85,2)*0.49*110,0)</f>
        <v>247</v>
      </c>
      <c r="CD10" s="557">
        <v>111</v>
      </c>
      <c r="CE10" s="556">
        <f>ROUND(ROUND(5.4*0.85,2)*0.49*111,0)</f>
        <v>250</v>
      </c>
      <c r="CF10" s="557">
        <v>110</v>
      </c>
      <c r="CG10" s="556">
        <f>ROUND(ROUND(5.4*0.85,2)*0.49*110,0)</f>
        <v>247</v>
      </c>
      <c r="CH10" s="557">
        <v>112</v>
      </c>
      <c r="CI10" s="556">
        <f>ROUND(ROUND(5.4*0.85,2)*0.49*112,0)</f>
        <v>252</v>
      </c>
      <c r="CJ10" s="557">
        <v>109</v>
      </c>
      <c r="CK10" s="556">
        <f>ROUND(ROUND(5.4*0.85,2)*0.49*109,0)</f>
        <v>245</v>
      </c>
      <c r="CL10" s="557">
        <v>98</v>
      </c>
      <c r="CM10" s="556">
        <f>ROUND(ROUND(5.4*0.85,2)*0.49*98,0)</f>
        <v>220</v>
      </c>
      <c r="CN10" s="557">
        <v>76</v>
      </c>
      <c r="CO10" s="556">
        <f>ROUND(ROUND(5.4*0.85,2)*0.49*76,0)</f>
        <v>171</v>
      </c>
      <c r="CP10" s="557">
        <v>51</v>
      </c>
      <c r="CQ10" s="556">
        <f>ROUND(ROUND(5.4*0.85,2)*0.49*51,0)</f>
        <v>115</v>
      </c>
      <c r="CR10" s="557">
        <v>21</v>
      </c>
      <c r="CS10" s="556">
        <f>ROUND(ROUND(5.4*0.85,2)*0.49*21,0)</f>
        <v>47</v>
      </c>
      <c r="CT10" s="557">
        <v>0</v>
      </c>
      <c r="CU10" s="556">
        <f>ROUND(ROUND(5.4*0.85,2)*0.49*0,0)</f>
        <v>0</v>
      </c>
      <c r="CV10" s="557">
        <v>0</v>
      </c>
      <c r="CW10" s="556">
        <f>ROUND(ROUND(5.4*0.85,2)*0.49*0,0)</f>
        <v>0</v>
      </c>
      <c r="CX10" s="557">
        <v>0</v>
      </c>
      <c r="CY10" s="556">
        <f>ROUND(ROUND(5.4*0.85,2)*0.49*0,0)</f>
        <v>0</v>
      </c>
      <c r="CZ10" s="557">
        <v>0</v>
      </c>
      <c r="DA10" s="556">
        <f>ROUND(ROUND(5.4*0.85,2)*0.49*0,0)</f>
        <v>0</v>
      </c>
      <c r="DB10" s="557">
        <v>0</v>
      </c>
      <c r="DC10" s="556">
        <f>ROUND(ROUND(5.4*0.85,2)*0.49*0,0)</f>
        <v>0</v>
      </c>
      <c r="DD10" s="557">
        <v>0</v>
      </c>
      <c r="DE10" s="558">
        <f>ROUND(ROUND(5.4*0.85,2)*0.49*0,0)</f>
        <v>0</v>
      </c>
      <c r="DF10" s="559"/>
      <c r="DG10" s="549"/>
      <c r="DH10" s="550"/>
      <c r="DI10" s="551"/>
      <c r="DJ10" s="552"/>
      <c r="DK10" s="550"/>
      <c r="DL10" s="551"/>
      <c r="DM10" s="553">
        <v>0</v>
      </c>
      <c r="DN10" s="554">
        <f>ROUND(ROUND(5.4*0.85,2)*0.49*0,0)</f>
        <v>0</v>
      </c>
      <c r="DO10" s="555">
        <v>0</v>
      </c>
      <c r="DP10" s="556">
        <f>ROUND(ROUND(5.4*0.85,2)*0.49*0,0)</f>
        <v>0</v>
      </c>
      <c r="DQ10" s="557">
        <v>0</v>
      </c>
      <c r="DR10" s="556">
        <f>ROUND(ROUND(5.4*0.85,2)*0.49*0,0)</f>
        <v>0</v>
      </c>
      <c r="DS10" s="557">
        <v>0</v>
      </c>
      <c r="DT10" s="556">
        <f>ROUND(ROUND(5.4*0.85,2)*0.49*0,0)</f>
        <v>0</v>
      </c>
      <c r="DU10" s="557">
        <v>0</v>
      </c>
      <c r="DV10" s="556">
        <f>ROUND(ROUND(5.4*0.85,2)*0.49*0,0)</f>
        <v>0</v>
      </c>
      <c r="DW10" s="557">
        <v>0</v>
      </c>
      <c r="DX10" s="556">
        <f>ROUND(ROUND(5.4*0.85,2)*0.49*0,0)</f>
        <v>0</v>
      </c>
      <c r="DY10" s="557">
        <v>0</v>
      </c>
      <c r="DZ10" s="556">
        <f>ROUND(ROUND(5.4*0.85,2)*0.49*0,0)</f>
        <v>0</v>
      </c>
      <c r="EA10" s="557">
        <v>0</v>
      </c>
      <c r="EB10" s="556">
        <f>ROUND(ROUND(5.4*0.85,2)*0.49*0,0)</f>
        <v>0</v>
      </c>
      <c r="EC10" s="557">
        <v>149</v>
      </c>
      <c r="ED10" s="556">
        <f>ROUND(ROUND(5.4*0.85,2)*0.49*149,0)</f>
        <v>335</v>
      </c>
      <c r="EE10" s="557">
        <v>97</v>
      </c>
      <c r="EF10" s="556">
        <f>ROUND(ROUND(5.4*0.85,2)*0.49*97,0)</f>
        <v>218</v>
      </c>
      <c r="EG10" s="557">
        <v>101</v>
      </c>
      <c r="EH10" s="556">
        <f>ROUND(ROUND(5.4*0.85,2)*0.49*101,0)</f>
        <v>227</v>
      </c>
      <c r="EI10" s="557">
        <v>101</v>
      </c>
      <c r="EJ10" s="556">
        <f>ROUND(ROUND(5.4*0.85,2)*0.49*101,0)</f>
        <v>227</v>
      </c>
      <c r="EK10" s="557">
        <v>98</v>
      </c>
      <c r="EL10" s="556">
        <f>ROUND(ROUND(5.4*0.85,2)*0.49*98,0)</f>
        <v>220</v>
      </c>
      <c r="EM10" s="557">
        <v>91</v>
      </c>
      <c r="EN10" s="556">
        <f>ROUND(ROUND(5.4*0.85,2)*0.49*91,0)</f>
        <v>205</v>
      </c>
      <c r="EO10" s="557">
        <v>78</v>
      </c>
      <c r="EP10" s="556">
        <f>ROUND(ROUND(5.4*0.85,2)*0.49*78,0)</f>
        <v>175</v>
      </c>
      <c r="EQ10" s="557">
        <v>55</v>
      </c>
      <c r="ER10" s="556">
        <f>ROUND(ROUND(5.4*0.85,2)*0.49*55,0)</f>
        <v>124</v>
      </c>
      <c r="ES10" s="557">
        <v>24</v>
      </c>
      <c r="ET10" s="556">
        <f>ROUND(ROUND(5.4*0.85,2)*0.49*24,0)</f>
        <v>54</v>
      </c>
      <c r="EU10" s="557">
        <v>3</v>
      </c>
      <c r="EV10" s="556">
        <f>ROUND(ROUND(5.4*0.85,2)*0.49*3,0)</f>
        <v>7</v>
      </c>
      <c r="EW10" s="557">
        <v>0</v>
      </c>
      <c r="EX10" s="556">
        <f>ROUND(ROUND(5.4*0.85,2)*0.49*0,0)</f>
        <v>0</v>
      </c>
      <c r="EY10" s="557">
        <v>0</v>
      </c>
      <c r="EZ10" s="556">
        <f>ROUND(ROUND(5.4*0.85,2)*0.49*0,0)</f>
        <v>0</v>
      </c>
      <c r="FA10" s="557">
        <v>0</v>
      </c>
      <c r="FB10" s="556">
        <f>ROUND(ROUND(5.4*0.85,2)*0.49*0,0)</f>
        <v>0</v>
      </c>
      <c r="FC10" s="557">
        <v>0</v>
      </c>
      <c r="FD10" s="556">
        <f>ROUND(ROUND(5.4*0.85,2)*0.49*0,0)</f>
        <v>0</v>
      </c>
      <c r="FE10" s="557">
        <v>0</v>
      </c>
      <c r="FF10" s="556">
        <f>ROUND(ROUND(5.4*0.85,2)*0.49*0,0)</f>
        <v>0</v>
      </c>
      <c r="FG10" s="557">
        <v>0</v>
      </c>
      <c r="FH10" s="558">
        <f>ROUND(ROUND(5.4*0.85,2)*0.49*0,0)</f>
        <v>0</v>
      </c>
      <c r="FI10" s="560"/>
      <c r="FJ10" s="561"/>
      <c r="FK10" s="550"/>
      <c r="FL10" s="551"/>
      <c r="FM10" s="552"/>
      <c r="FN10" s="550"/>
      <c r="FO10" s="551"/>
      <c r="FP10" s="562"/>
      <c r="FQ10" s="555"/>
      <c r="FR10" s="554" t="s">
        <v>518</v>
      </c>
      <c r="FS10" s="563"/>
      <c r="FT10" s="555"/>
      <c r="FU10" s="564" t="s">
        <v>577</v>
      </c>
      <c r="FV10" s="565" t="s">
        <v>301</v>
      </c>
      <c r="FW10" s="1265"/>
      <c r="FX10" s="1266" t="s">
        <v>302</v>
      </c>
      <c r="FY10" s="1267"/>
      <c r="FZ10" s="1268" t="s">
        <v>303</v>
      </c>
      <c r="GA10" s="1269"/>
      <c r="GB10" s="1270" t="s">
        <v>590</v>
      </c>
      <c r="GC10" s="1271"/>
      <c r="GD10" s="573" t="s">
        <v>591</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1"/>
      <c r="HG10" s="1451"/>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577</v>
      </c>
      <c r="FS11" s="588"/>
      <c r="FT11" s="583"/>
      <c r="FU11" s="589" t="s">
        <v>518</v>
      </c>
      <c r="FV11" s="590"/>
      <c r="FW11" s="591"/>
      <c r="FX11" s="592"/>
      <c r="FY11" s="593"/>
      <c r="FZ11" s="594"/>
      <c r="GA11" s="595"/>
      <c r="GB11" s="596"/>
      <c r="GC11" s="597"/>
      <c r="GD11" s="596"/>
      <c r="GE11" s="598"/>
      <c r="GF11" s="496"/>
      <c r="GG11" s="599"/>
      <c r="GH11" s="599"/>
      <c r="GI11" s="599"/>
      <c r="GJ11" s="526"/>
      <c r="GK11" s="577" t="s">
        <v>443</v>
      </c>
      <c r="GL11" s="414"/>
      <c r="GM11" s="480"/>
      <c r="GN11" s="483"/>
      <c r="GO11" s="480"/>
      <c r="GP11" s="414"/>
      <c r="GQ11" s="526"/>
      <c r="GR11" s="526"/>
      <c r="GS11" s="526"/>
      <c r="GT11" s="545"/>
      <c r="GU11" s="577" t="s">
        <v>444</v>
      </c>
      <c r="GV11" s="414"/>
      <c r="GW11" s="480"/>
      <c r="GX11" s="483"/>
      <c r="GY11" s="480"/>
      <c r="GZ11" s="414"/>
      <c r="HA11" s="527"/>
      <c r="HB11" s="527"/>
      <c r="HC11" s="410"/>
      <c r="HD11" s="792"/>
      <c r="HE11" s="438"/>
      <c r="HF11" s="1451"/>
      <c r="HG11" s="1451"/>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577</v>
      </c>
      <c r="FS12" s="588"/>
      <c r="FT12" s="583"/>
      <c r="FU12" s="589" t="s">
        <v>577</v>
      </c>
      <c r="FV12" s="590"/>
      <c r="FW12" s="591"/>
      <c r="FX12" s="592"/>
      <c r="FY12" s="593"/>
      <c r="FZ12" s="594"/>
      <c r="GA12" s="595"/>
      <c r="GB12" s="596"/>
      <c r="GC12" s="597"/>
      <c r="GD12" s="596"/>
      <c r="GE12" s="598"/>
      <c r="GF12" s="496"/>
      <c r="GG12" s="599"/>
      <c r="GH12" s="599"/>
      <c r="GI12" s="599"/>
      <c r="GJ12" s="414"/>
      <c r="GK12" s="600" t="s">
        <v>366</v>
      </c>
      <c r="GL12" s="601"/>
      <c r="GM12" s="602" t="s">
        <v>445</v>
      </c>
      <c r="GN12" s="603" t="s">
        <v>446</v>
      </c>
      <c r="GO12" s="604" t="s">
        <v>447</v>
      </c>
      <c r="GP12" s="605" t="s">
        <v>448</v>
      </c>
      <c r="GQ12" s="604" t="s">
        <v>449</v>
      </c>
      <c r="GR12" s="604" t="s">
        <v>450</v>
      </c>
      <c r="GS12" s="606"/>
      <c r="GT12" s="545"/>
      <c r="GU12" s="600" t="s">
        <v>366</v>
      </c>
      <c r="GV12" s="601"/>
      <c r="GW12" s="602" t="s">
        <v>445</v>
      </c>
      <c r="GX12" s="607" t="s">
        <v>451</v>
      </c>
      <c r="GY12" s="608"/>
      <c r="GZ12" s="609" t="s">
        <v>447</v>
      </c>
      <c r="HA12" s="610" t="s">
        <v>452</v>
      </c>
      <c r="HB12" s="611"/>
      <c r="HC12" s="612"/>
      <c r="HD12" s="792"/>
      <c r="HE12" s="438"/>
      <c r="HF12" s="1451"/>
      <c r="HG12" s="1451"/>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578</v>
      </c>
      <c r="FS13" s="623"/>
      <c r="FT13" s="618"/>
      <c r="FU13" s="624" t="s">
        <v>578</v>
      </c>
      <c r="FV13" s="590"/>
      <c r="FW13" s="591"/>
      <c r="FX13" s="592"/>
      <c r="FY13" s="593"/>
      <c r="FZ13" s="594"/>
      <c r="GA13" s="595"/>
      <c r="GB13" s="596"/>
      <c r="GC13" s="597"/>
      <c r="GD13" s="596"/>
      <c r="GE13" s="598"/>
      <c r="GF13" s="496"/>
      <c r="GG13" s="599"/>
      <c r="GH13" s="599"/>
      <c r="GI13" s="599"/>
      <c r="GJ13" s="414"/>
      <c r="GK13" s="625">
        <v>208</v>
      </c>
      <c r="GL13" s="626"/>
      <c r="GM13" s="627" t="s">
        <v>595</v>
      </c>
      <c r="GN13" s="628">
        <v>5.4</v>
      </c>
      <c r="GO13" s="629">
        <v>1.8</v>
      </c>
      <c r="GP13" s="629">
        <v>1</v>
      </c>
      <c r="GQ13" s="630">
        <v>9.7200000000000006</v>
      </c>
      <c r="GR13" s="631">
        <v>5.4</v>
      </c>
      <c r="GS13" s="575"/>
      <c r="GT13" s="414"/>
      <c r="GU13" s="625">
        <v>208</v>
      </c>
      <c r="GV13" s="626"/>
      <c r="GW13" s="632" t="s">
        <v>596</v>
      </c>
      <c r="GX13" s="633">
        <v>5.4</v>
      </c>
      <c r="GY13" s="634"/>
      <c r="GZ13" s="635">
        <v>0.3</v>
      </c>
      <c r="HA13" s="636">
        <v>1.62</v>
      </c>
      <c r="HB13" s="637"/>
      <c r="HC13" s="527"/>
      <c r="HD13" s="792"/>
      <c r="HE13" s="438"/>
      <c r="HF13" s="387"/>
      <c r="HG13" s="387"/>
    </row>
    <row r="14" spans="1:353" ht="20.100000000000001" customHeight="1">
      <c r="A14" s="638"/>
      <c r="B14" s="639"/>
      <c r="C14" s="639"/>
      <c r="D14" s="640" t="s">
        <v>579</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261</v>
      </c>
      <c r="Y14" s="728"/>
      <c r="Z14" s="642">
        <f>SUM(Z10:Z13)</f>
        <v>292</v>
      </c>
      <c r="AA14" s="728"/>
      <c r="AB14" s="642">
        <f>SUM(AB10:AB13)</f>
        <v>304</v>
      </c>
      <c r="AC14" s="728"/>
      <c r="AD14" s="642">
        <f>SUM(AD10:AD13)</f>
        <v>306</v>
      </c>
      <c r="AE14" s="728"/>
      <c r="AF14" s="642">
        <f>SUM(AF10:AF13)</f>
        <v>301</v>
      </c>
      <c r="AG14" s="728"/>
      <c r="AH14" s="642">
        <f>SUM(AH10:AH13)</f>
        <v>281</v>
      </c>
      <c r="AI14" s="728"/>
      <c r="AJ14" s="642">
        <f>SUM(AJ10:AJ13)</f>
        <v>241</v>
      </c>
      <c r="AK14" s="728"/>
      <c r="AL14" s="642">
        <f>SUM(AL10:AL13)</f>
        <v>180</v>
      </c>
      <c r="AM14" s="728"/>
      <c r="AN14" s="642">
        <f>SUM(AN10:AN13)</f>
        <v>112</v>
      </c>
      <c r="AO14" s="728"/>
      <c r="AP14" s="642">
        <f>SUM(AP10:AP13)</f>
        <v>31</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579</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232</v>
      </c>
      <c r="CB14" s="728"/>
      <c r="CC14" s="642">
        <f>SUM(CC10:CC13)</f>
        <v>247</v>
      </c>
      <c r="CD14" s="728"/>
      <c r="CE14" s="642">
        <f>SUM(CE10:CE13)</f>
        <v>250</v>
      </c>
      <c r="CF14" s="728"/>
      <c r="CG14" s="642">
        <f>SUM(CG10:CG13)</f>
        <v>247</v>
      </c>
      <c r="CH14" s="728"/>
      <c r="CI14" s="642">
        <f>SUM(CI10:CI13)</f>
        <v>252</v>
      </c>
      <c r="CJ14" s="728"/>
      <c r="CK14" s="642">
        <f>SUM(CK10:CK13)</f>
        <v>245</v>
      </c>
      <c r="CL14" s="728"/>
      <c r="CM14" s="642">
        <f>SUM(CM10:CM13)</f>
        <v>220</v>
      </c>
      <c r="CN14" s="728"/>
      <c r="CO14" s="642">
        <f>SUM(CO10:CO13)</f>
        <v>171</v>
      </c>
      <c r="CP14" s="728"/>
      <c r="CQ14" s="642">
        <f>SUM(CQ10:CQ13)</f>
        <v>115</v>
      </c>
      <c r="CR14" s="728"/>
      <c r="CS14" s="642">
        <f>SUM(CS10:CS13)</f>
        <v>47</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519</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335</v>
      </c>
      <c r="EE14" s="728"/>
      <c r="EF14" s="642">
        <f>SUM(EF10:EF13)</f>
        <v>218</v>
      </c>
      <c r="EG14" s="728"/>
      <c r="EH14" s="642">
        <f>SUM(EH10:EH13)</f>
        <v>227</v>
      </c>
      <c r="EI14" s="728"/>
      <c r="EJ14" s="642">
        <f>SUM(EJ10:EJ13)</f>
        <v>227</v>
      </c>
      <c r="EK14" s="728"/>
      <c r="EL14" s="642">
        <f>SUM(EL10:EL13)</f>
        <v>220</v>
      </c>
      <c r="EM14" s="728"/>
      <c r="EN14" s="642">
        <f>SUM(EN10:EN13)</f>
        <v>205</v>
      </c>
      <c r="EO14" s="728"/>
      <c r="EP14" s="642">
        <f>SUM(EP10:EP13)</f>
        <v>175</v>
      </c>
      <c r="EQ14" s="728"/>
      <c r="ER14" s="642">
        <f>SUM(ER10:ER13)</f>
        <v>124</v>
      </c>
      <c r="ES14" s="728"/>
      <c r="ET14" s="642">
        <f>SUM(ET10:ET13)</f>
        <v>54</v>
      </c>
      <c r="EU14" s="728"/>
      <c r="EV14" s="642">
        <f>SUM(EV10:EV13)</f>
        <v>7</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519</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0"/>
      <c r="HE14" s="416"/>
      <c r="HF14" s="416"/>
      <c r="HG14" s="416"/>
    </row>
    <row r="15" spans="1:353" ht="24" customHeight="1">
      <c r="A15" s="529" t="s">
        <v>307</v>
      </c>
      <c r="B15" s="655" t="s">
        <v>288</v>
      </c>
      <c r="C15" s="656" t="s">
        <v>289</v>
      </c>
      <c r="D15" s="657" t="s">
        <v>580</v>
      </c>
      <c r="E15" s="657" t="s">
        <v>308</v>
      </c>
      <c r="F15" s="658" t="s">
        <v>108</v>
      </c>
      <c r="G15" s="659" t="s">
        <v>526</v>
      </c>
      <c r="H15" s="660" t="s">
        <v>581</v>
      </c>
      <c r="I15" s="661" t="s">
        <v>311</v>
      </c>
      <c r="J15" s="660" t="s">
        <v>525</v>
      </c>
      <c r="K15" s="661" t="s">
        <v>311</v>
      </c>
      <c r="L15" s="660" t="s">
        <v>582</v>
      </c>
      <c r="M15" s="661" t="s">
        <v>311</v>
      </c>
      <c r="N15" s="660" t="s">
        <v>525</v>
      </c>
      <c r="O15" s="661" t="s">
        <v>311</v>
      </c>
      <c r="P15" s="660" t="s">
        <v>581</v>
      </c>
      <c r="Q15" s="661" t="s">
        <v>311</v>
      </c>
      <c r="R15" s="660" t="s">
        <v>525</v>
      </c>
      <c r="S15" s="661" t="s">
        <v>311</v>
      </c>
      <c r="T15" s="660" t="s">
        <v>525</v>
      </c>
      <c r="U15" s="661" t="s">
        <v>311</v>
      </c>
      <c r="V15" s="660" t="s">
        <v>582</v>
      </c>
      <c r="W15" s="661" t="s">
        <v>311</v>
      </c>
      <c r="X15" s="660" t="s">
        <v>525</v>
      </c>
      <c r="Y15" s="661" t="s">
        <v>311</v>
      </c>
      <c r="Z15" s="660" t="s">
        <v>525</v>
      </c>
      <c r="AA15" s="661" t="s">
        <v>311</v>
      </c>
      <c r="AB15" s="660" t="s">
        <v>525</v>
      </c>
      <c r="AC15" s="661" t="s">
        <v>311</v>
      </c>
      <c r="AD15" s="660" t="s">
        <v>582</v>
      </c>
      <c r="AE15" s="661" t="s">
        <v>311</v>
      </c>
      <c r="AF15" s="660" t="s">
        <v>525</v>
      </c>
      <c r="AG15" s="661" t="s">
        <v>311</v>
      </c>
      <c r="AH15" s="660" t="s">
        <v>581</v>
      </c>
      <c r="AI15" s="661" t="s">
        <v>311</v>
      </c>
      <c r="AJ15" s="660" t="s">
        <v>581</v>
      </c>
      <c r="AK15" s="661" t="s">
        <v>311</v>
      </c>
      <c r="AL15" s="660" t="s">
        <v>525</v>
      </c>
      <c r="AM15" s="661" t="s">
        <v>311</v>
      </c>
      <c r="AN15" s="660" t="s">
        <v>581</v>
      </c>
      <c r="AO15" s="661" t="s">
        <v>311</v>
      </c>
      <c r="AP15" s="660" t="s">
        <v>525</v>
      </c>
      <c r="AQ15" s="661" t="s">
        <v>311</v>
      </c>
      <c r="AR15" s="660" t="s">
        <v>524</v>
      </c>
      <c r="AS15" s="661" t="s">
        <v>311</v>
      </c>
      <c r="AT15" s="660" t="s">
        <v>581</v>
      </c>
      <c r="AU15" s="661" t="s">
        <v>311</v>
      </c>
      <c r="AV15" s="660" t="s">
        <v>581</v>
      </c>
      <c r="AW15" s="661" t="s">
        <v>311</v>
      </c>
      <c r="AX15" s="660" t="s">
        <v>525</v>
      </c>
      <c r="AY15" s="661" t="s">
        <v>311</v>
      </c>
      <c r="AZ15" s="660" t="s">
        <v>581</v>
      </c>
      <c r="BA15" s="661" t="s">
        <v>311</v>
      </c>
      <c r="BB15" s="662" t="s">
        <v>314</v>
      </c>
      <c r="BC15" s="663"/>
      <c r="BD15" s="529" t="s">
        <v>307</v>
      </c>
      <c r="BE15" s="655" t="s">
        <v>288</v>
      </c>
      <c r="BF15" s="656" t="s">
        <v>289</v>
      </c>
      <c r="BG15" s="657" t="s">
        <v>573</v>
      </c>
      <c r="BH15" s="657" t="s">
        <v>308</v>
      </c>
      <c r="BI15" s="658" t="s">
        <v>108</v>
      </c>
      <c r="BJ15" s="659" t="s">
        <v>583</v>
      </c>
      <c r="BK15" s="660" t="s">
        <v>525</v>
      </c>
      <c r="BL15" s="661" t="s">
        <v>311</v>
      </c>
      <c r="BM15" s="660" t="s">
        <v>581</v>
      </c>
      <c r="BN15" s="661" t="s">
        <v>311</v>
      </c>
      <c r="BO15" s="660" t="s">
        <v>581</v>
      </c>
      <c r="BP15" s="661" t="s">
        <v>311</v>
      </c>
      <c r="BQ15" s="660" t="s">
        <v>581</v>
      </c>
      <c r="BR15" s="661" t="s">
        <v>311</v>
      </c>
      <c r="BS15" s="660" t="s">
        <v>582</v>
      </c>
      <c r="BT15" s="661" t="s">
        <v>311</v>
      </c>
      <c r="BU15" s="660" t="s">
        <v>581</v>
      </c>
      <c r="BV15" s="661" t="s">
        <v>311</v>
      </c>
      <c r="BW15" s="660" t="s">
        <v>525</v>
      </c>
      <c r="BX15" s="661" t="s">
        <v>311</v>
      </c>
      <c r="BY15" s="660" t="s">
        <v>525</v>
      </c>
      <c r="BZ15" s="661" t="s">
        <v>311</v>
      </c>
      <c r="CA15" s="660" t="s">
        <v>581</v>
      </c>
      <c r="CB15" s="661" t="s">
        <v>311</v>
      </c>
      <c r="CC15" s="660" t="s">
        <v>582</v>
      </c>
      <c r="CD15" s="661" t="s">
        <v>311</v>
      </c>
      <c r="CE15" s="660" t="s">
        <v>581</v>
      </c>
      <c r="CF15" s="661" t="s">
        <v>311</v>
      </c>
      <c r="CG15" s="660" t="s">
        <v>525</v>
      </c>
      <c r="CH15" s="661" t="s">
        <v>311</v>
      </c>
      <c r="CI15" s="660" t="s">
        <v>524</v>
      </c>
      <c r="CJ15" s="661" t="s">
        <v>311</v>
      </c>
      <c r="CK15" s="660" t="s">
        <v>581</v>
      </c>
      <c r="CL15" s="661" t="s">
        <v>311</v>
      </c>
      <c r="CM15" s="660" t="s">
        <v>581</v>
      </c>
      <c r="CN15" s="661" t="s">
        <v>311</v>
      </c>
      <c r="CO15" s="660" t="s">
        <v>581</v>
      </c>
      <c r="CP15" s="661" t="s">
        <v>311</v>
      </c>
      <c r="CQ15" s="660" t="s">
        <v>582</v>
      </c>
      <c r="CR15" s="661" t="s">
        <v>311</v>
      </c>
      <c r="CS15" s="660" t="s">
        <v>581</v>
      </c>
      <c r="CT15" s="661" t="s">
        <v>311</v>
      </c>
      <c r="CU15" s="660" t="s">
        <v>582</v>
      </c>
      <c r="CV15" s="661" t="s">
        <v>311</v>
      </c>
      <c r="CW15" s="660" t="s">
        <v>582</v>
      </c>
      <c r="CX15" s="661" t="s">
        <v>311</v>
      </c>
      <c r="CY15" s="660" t="s">
        <v>581</v>
      </c>
      <c r="CZ15" s="661" t="s">
        <v>311</v>
      </c>
      <c r="DA15" s="660" t="s">
        <v>582</v>
      </c>
      <c r="DB15" s="661" t="s">
        <v>311</v>
      </c>
      <c r="DC15" s="660" t="s">
        <v>525</v>
      </c>
      <c r="DD15" s="661" t="s">
        <v>311</v>
      </c>
      <c r="DE15" s="662" t="s">
        <v>314</v>
      </c>
      <c r="DF15" s="663"/>
      <c r="DG15" s="529" t="s">
        <v>307</v>
      </c>
      <c r="DH15" s="655" t="s">
        <v>288</v>
      </c>
      <c r="DI15" s="656" t="s">
        <v>289</v>
      </c>
      <c r="DJ15" s="657" t="s">
        <v>584</v>
      </c>
      <c r="DK15" s="657" t="s">
        <v>308</v>
      </c>
      <c r="DL15" s="658" t="s">
        <v>108</v>
      </c>
      <c r="DM15" s="659" t="s">
        <v>583</v>
      </c>
      <c r="DN15" s="660" t="s">
        <v>581</v>
      </c>
      <c r="DO15" s="661" t="s">
        <v>311</v>
      </c>
      <c r="DP15" s="660" t="s">
        <v>525</v>
      </c>
      <c r="DQ15" s="661" t="s">
        <v>311</v>
      </c>
      <c r="DR15" s="660" t="s">
        <v>581</v>
      </c>
      <c r="DS15" s="661" t="s">
        <v>311</v>
      </c>
      <c r="DT15" s="660" t="s">
        <v>581</v>
      </c>
      <c r="DU15" s="661" t="s">
        <v>311</v>
      </c>
      <c r="DV15" s="660" t="s">
        <v>525</v>
      </c>
      <c r="DW15" s="661" t="s">
        <v>311</v>
      </c>
      <c r="DX15" s="660" t="s">
        <v>525</v>
      </c>
      <c r="DY15" s="661" t="s">
        <v>311</v>
      </c>
      <c r="DZ15" s="660" t="s">
        <v>581</v>
      </c>
      <c r="EA15" s="661" t="s">
        <v>311</v>
      </c>
      <c r="EB15" s="660" t="s">
        <v>581</v>
      </c>
      <c r="EC15" s="661" t="s">
        <v>311</v>
      </c>
      <c r="ED15" s="660" t="s">
        <v>581</v>
      </c>
      <c r="EE15" s="661" t="s">
        <v>311</v>
      </c>
      <c r="EF15" s="660" t="s">
        <v>581</v>
      </c>
      <c r="EG15" s="661" t="s">
        <v>311</v>
      </c>
      <c r="EH15" s="660" t="s">
        <v>581</v>
      </c>
      <c r="EI15" s="661" t="s">
        <v>311</v>
      </c>
      <c r="EJ15" s="660" t="s">
        <v>581</v>
      </c>
      <c r="EK15" s="661" t="s">
        <v>311</v>
      </c>
      <c r="EL15" s="660" t="s">
        <v>525</v>
      </c>
      <c r="EM15" s="661" t="s">
        <v>311</v>
      </c>
      <c r="EN15" s="660" t="s">
        <v>525</v>
      </c>
      <c r="EO15" s="661" t="s">
        <v>311</v>
      </c>
      <c r="EP15" s="660" t="s">
        <v>525</v>
      </c>
      <c r="EQ15" s="661" t="s">
        <v>311</v>
      </c>
      <c r="ER15" s="660" t="s">
        <v>581</v>
      </c>
      <c r="ES15" s="661" t="s">
        <v>311</v>
      </c>
      <c r="ET15" s="660" t="s">
        <v>581</v>
      </c>
      <c r="EU15" s="661" t="s">
        <v>311</v>
      </c>
      <c r="EV15" s="660" t="s">
        <v>524</v>
      </c>
      <c r="EW15" s="661" t="s">
        <v>311</v>
      </c>
      <c r="EX15" s="660" t="s">
        <v>525</v>
      </c>
      <c r="EY15" s="661" t="s">
        <v>311</v>
      </c>
      <c r="EZ15" s="660" t="s">
        <v>525</v>
      </c>
      <c r="FA15" s="661" t="s">
        <v>311</v>
      </c>
      <c r="FB15" s="660" t="s">
        <v>525</v>
      </c>
      <c r="FC15" s="661" t="s">
        <v>311</v>
      </c>
      <c r="FD15" s="660" t="s">
        <v>525</v>
      </c>
      <c r="FE15" s="661" t="s">
        <v>311</v>
      </c>
      <c r="FF15" s="660" t="s">
        <v>524</v>
      </c>
      <c r="FG15" s="661" t="s">
        <v>311</v>
      </c>
      <c r="FH15" s="662" t="s">
        <v>314</v>
      </c>
      <c r="FI15" s="664"/>
      <c r="FJ15" s="539" t="s">
        <v>307</v>
      </c>
      <c r="FK15" s="655" t="s">
        <v>288</v>
      </c>
      <c r="FL15" s="656" t="s">
        <v>289</v>
      </c>
      <c r="FM15" s="657" t="s">
        <v>521</v>
      </c>
      <c r="FN15" s="657" t="s">
        <v>308</v>
      </c>
      <c r="FO15" s="658" t="s">
        <v>108</v>
      </c>
      <c r="FP15" s="665" t="s">
        <v>43</v>
      </c>
      <c r="FQ15" s="666" t="s">
        <v>311</v>
      </c>
      <c r="FR15" s="660" t="s">
        <v>314</v>
      </c>
      <c r="FS15" s="667" t="s">
        <v>43</v>
      </c>
      <c r="FT15" s="666" t="s">
        <v>311</v>
      </c>
      <c r="FU15" s="668" t="s">
        <v>314</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216</v>
      </c>
      <c r="C16" s="672" t="s">
        <v>67</v>
      </c>
      <c r="D16" s="552">
        <v>36.75</v>
      </c>
      <c r="E16" s="673">
        <v>0.6</v>
      </c>
      <c r="F16" s="674"/>
      <c r="G16" s="675">
        <v>0</v>
      </c>
      <c r="H16" s="556">
        <f>ROUND(36.75*0.6*0,0)</f>
        <v>0</v>
      </c>
      <c r="I16" s="676">
        <v>0</v>
      </c>
      <c r="J16" s="556">
        <f>ROUND(36.75*0.6*0,0)</f>
        <v>0</v>
      </c>
      <c r="K16" s="676">
        <v>0</v>
      </c>
      <c r="L16" s="556">
        <f>ROUND(36.75*0.6*0,0)</f>
        <v>0</v>
      </c>
      <c r="M16" s="676">
        <v>0</v>
      </c>
      <c r="N16" s="556">
        <f>ROUND(36.75*0.6*0,0)</f>
        <v>0</v>
      </c>
      <c r="O16" s="676">
        <v>0</v>
      </c>
      <c r="P16" s="556">
        <f>ROUND(36.75*0.6*0,0)</f>
        <v>0</v>
      </c>
      <c r="Q16" s="676">
        <v>0</v>
      </c>
      <c r="R16" s="556">
        <f>ROUND(36.75*0.6*0,0)</f>
        <v>0</v>
      </c>
      <c r="S16" s="676">
        <v>0</v>
      </c>
      <c r="T16" s="556">
        <f>ROUND(36.75*0.6*0,0)</f>
        <v>0</v>
      </c>
      <c r="U16" s="676">
        <v>0</v>
      </c>
      <c r="V16" s="556">
        <f>ROUND(36.75*0.6*0,0)</f>
        <v>0</v>
      </c>
      <c r="W16" s="676">
        <v>7.1</v>
      </c>
      <c r="X16" s="556">
        <f>ROUND(36.75*0.6*7.1,0)</f>
        <v>157</v>
      </c>
      <c r="Y16" s="676">
        <v>8.4</v>
      </c>
      <c r="Z16" s="556">
        <f>ROUND(36.75*0.6*8.4,0)</f>
        <v>185</v>
      </c>
      <c r="AA16" s="676">
        <v>9.6</v>
      </c>
      <c r="AB16" s="556">
        <f>ROUND(36.75*0.6*9.6,0)</f>
        <v>212</v>
      </c>
      <c r="AC16" s="676">
        <v>10.6</v>
      </c>
      <c r="AD16" s="556">
        <f>ROUND(36.75*0.6*10.6,0)</f>
        <v>234</v>
      </c>
      <c r="AE16" s="676">
        <v>11.4</v>
      </c>
      <c r="AF16" s="556">
        <f>ROUND(36.75*0.6*11.4,0)</f>
        <v>251</v>
      </c>
      <c r="AG16" s="676">
        <v>12</v>
      </c>
      <c r="AH16" s="556">
        <f>ROUND(36.75*0.6*12,0)</f>
        <v>265</v>
      </c>
      <c r="AI16" s="676">
        <v>12.1</v>
      </c>
      <c r="AJ16" s="556">
        <f>ROUND(36.75*0.6*12.1,0)</f>
        <v>267</v>
      </c>
      <c r="AK16" s="676">
        <v>11.8</v>
      </c>
      <c r="AL16" s="556">
        <f>ROUND(36.75*0.6*11.8,0)</f>
        <v>260</v>
      </c>
      <c r="AM16" s="676">
        <v>11.1</v>
      </c>
      <c r="AN16" s="556">
        <f>ROUND(36.75*0.6*11.1,0)</f>
        <v>245</v>
      </c>
      <c r="AO16" s="676">
        <v>9.8000000000000007</v>
      </c>
      <c r="AP16" s="556">
        <f>ROUND(36.75*0.6*9.8,0)</f>
        <v>216</v>
      </c>
      <c r="AQ16" s="676">
        <v>0</v>
      </c>
      <c r="AR16" s="556">
        <f>ROUND(36.75*0.6*0,0)</f>
        <v>0</v>
      </c>
      <c r="AS16" s="676">
        <v>0</v>
      </c>
      <c r="AT16" s="556">
        <f>ROUND(36.75*0.6*0,0)</f>
        <v>0</v>
      </c>
      <c r="AU16" s="676">
        <v>0</v>
      </c>
      <c r="AV16" s="556">
        <f>ROUND(36.75*0.6*0,0)</f>
        <v>0</v>
      </c>
      <c r="AW16" s="676">
        <v>0</v>
      </c>
      <c r="AX16" s="556">
        <f>ROUND(36.75*0.6*0,0)</f>
        <v>0</v>
      </c>
      <c r="AY16" s="676">
        <v>0</v>
      </c>
      <c r="AZ16" s="556">
        <f>ROUND(36.75*0.6*0,0)</f>
        <v>0</v>
      </c>
      <c r="BA16" s="676">
        <v>0</v>
      </c>
      <c r="BB16" s="677">
        <f>ROUND(36.75*0.6*0,0)</f>
        <v>0</v>
      </c>
      <c r="BC16" s="559"/>
      <c r="BD16" s="549"/>
      <c r="BE16" s="551" t="s">
        <v>216</v>
      </c>
      <c r="BF16" s="672" t="s">
        <v>67</v>
      </c>
      <c r="BG16" s="552">
        <v>36.75</v>
      </c>
      <c r="BH16" s="673">
        <v>0.6</v>
      </c>
      <c r="BI16" s="674"/>
      <c r="BJ16" s="675">
        <v>0</v>
      </c>
      <c r="BK16" s="556">
        <f>ROUND(36.75*0.6*0,0)</f>
        <v>0</v>
      </c>
      <c r="BL16" s="676">
        <v>0</v>
      </c>
      <c r="BM16" s="556">
        <f>ROUND(36.75*0.6*0,0)</f>
        <v>0</v>
      </c>
      <c r="BN16" s="676">
        <v>0</v>
      </c>
      <c r="BO16" s="556">
        <f>ROUND(36.75*0.6*0,0)</f>
        <v>0</v>
      </c>
      <c r="BP16" s="676">
        <v>0</v>
      </c>
      <c r="BQ16" s="556">
        <f>ROUND(36.75*0.6*0,0)</f>
        <v>0</v>
      </c>
      <c r="BR16" s="676">
        <v>0</v>
      </c>
      <c r="BS16" s="556">
        <f>ROUND(36.75*0.6*0,0)</f>
        <v>0</v>
      </c>
      <c r="BT16" s="676">
        <v>0</v>
      </c>
      <c r="BU16" s="556">
        <f>ROUND(36.75*0.6*0,0)</f>
        <v>0</v>
      </c>
      <c r="BV16" s="676">
        <v>0</v>
      </c>
      <c r="BW16" s="556">
        <f>ROUND(36.75*0.6*0,0)</f>
        <v>0</v>
      </c>
      <c r="BX16" s="676">
        <v>0</v>
      </c>
      <c r="BY16" s="556">
        <f>ROUND(36.75*0.6*0,0)</f>
        <v>0</v>
      </c>
      <c r="BZ16" s="676">
        <v>8.9</v>
      </c>
      <c r="CA16" s="556">
        <f>ROUND(36.75*0.6*8.9,0)</f>
        <v>196</v>
      </c>
      <c r="CB16" s="676">
        <v>9.6</v>
      </c>
      <c r="CC16" s="556">
        <f>ROUND(36.75*0.6*9.6,0)</f>
        <v>212</v>
      </c>
      <c r="CD16" s="676">
        <v>9.9</v>
      </c>
      <c r="CE16" s="556">
        <f>ROUND(36.75*0.6*9.9,0)</f>
        <v>218</v>
      </c>
      <c r="CF16" s="676">
        <v>10.4</v>
      </c>
      <c r="CG16" s="556">
        <f>ROUND(36.75*0.6*10.4,0)</f>
        <v>229</v>
      </c>
      <c r="CH16" s="676">
        <v>10.8</v>
      </c>
      <c r="CI16" s="556">
        <f>ROUND(36.75*0.6*10.8,0)</f>
        <v>238</v>
      </c>
      <c r="CJ16" s="676">
        <v>11.2</v>
      </c>
      <c r="CK16" s="556">
        <f>ROUND(36.75*0.6*11.2,0)</f>
        <v>247</v>
      </c>
      <c r="CL16" s="676">
        <v>11.2</v>
      </c>
      <c r="CM16" s="556">
        <f>ROUND(36.75*0.6*11.2,0)</f>
        <v>247</v>
      </c>
      <c r="CN16" s="676">
        <v>11</v>
      </c>
      <c r="CO16" s="556">
        <f>ROUND(36.75*0.6*11,0)</f>
        <v>243</v>
      </c>
      <c r="CP16" s="676">
        <v>10.3</v>
      </c>
      <c r="CQ16" s="556">
        <f>ROUND(36.75*0.6*10.3,0)</f>
        <v>227</v>
      </c>
      <c r="CR16" s="676">
        <v>9.4</v>
      </c>
      <c r="CS16" s="556">
        <f>ROUND(36.75*0.6*9.4,0)</f>
        <v>207</v>
      </c>
      <c r="CT16" s="676">
        <v>0</v>
      </c>
      <c r="CU16" s="556">
        <f>ROUND(36.75*0.6*0,0)</f>
        <v>0</v>
      </c>
      <c r="CV16" s="676">
        <v>0</v>
      </c>
      <c r="CW16" s="556">
        <f>ROUND(36.75*0.6*0,0)</f>
        <v>0</v>
      </c>
      <c r="CX16" s="676">
        <v>0</v>
      </c>
      <c r="CY16" s="556">
        <f>ROUND(36.75*0.6*0,0)</f>
        <v>0</v>
      </c>
      <c r="CZ16" s="676">
        <v>0</v>
      </c>
      <c r="DA16" s="556">
        <f>ROUND(36.75*0.6*0,0)</f>
        <v>0</v>
      </c>
      <c r="DB16" s="676">
        <v>0</v>
      </c>
      <c r="DC16" s="556">
        <f>ROUND(36.75*0.6*0,0)</f>
        <v>0</v>
      </c>
      <c r="DD16" s="676">
        <v>0</v>
      </c>
      <c r="DE16" s="677">
        <f>ROUND(36.75*0.6*0,0)</f>
        <v>0</v>
      </c>
      <c r="DF16" s="559"/>
      <c r="DG16" s="549"/>
      <c r="DH16" s="551" t="s">
        <v>216</v>
      </c>
      <c r="DI16" s="672" t="s">
        <v>67</v>
      </c>
      <c r="DJ16" s="552">
        <v>36.75</v>
      </c>
      <c r="DK16" s="673">
        <v>0.6</v>
      </c>
      <c r="DL16" s="674"/>
      <c r="DM16" s="675">
        <v>0</v>
      </c>
      <c r="DN16" s="556">
        <f>ROUND(36.75*0.6*0,0)</f>
        <v>0</v>
      </c>
      <c r="DO16" s="676">
        <v>0</v>
      </c>
      <c r="DP16" s="556">
        <f>ROUND(36.75*0.6*0,0)</f>
        <v>0</v>
      </c>
      <c r="DQ16" s="676">
        <v>0</v>
      </c>
      <c r="DR16" s="556">
        <f>ROUND(36.75*0.6*0,0)</f>
        <v>0</v>
      </c>
      <c r="DS16" s="676">
        <v>0</v>
      </c>
      <c r="DT16" s="556">
        <f>ROUND(36.75*0.6*0,0)</f>
        <v>0</v>
      </c>
      <c r="DU16" s="676">
        <v>0</v>
      </c>
      <c r="DV16" s="556">
        <f>ROUND(36.75*0.6*0,0)</f>
        <v>0</v>
      </c>
      <c r="DW16" s="676">
        <v>0</v>
      </c>
      <c r="DX16" s="556">
        <f>ROUND(36.75*0.6*0,0)</f>
        <v>0</v>
      </c>
      <c r="DY16" s="676">
        <v>0</v>
      </c>
      <c r="DZ16" s="556">
        <f>ROUND(36.75*0.6*0,0)</f>
        <v>0</v>
      </c>
      <c r="EA16" s="676">
        <v>0</v>
      </c>
      <c r="EB16" s="556">
        <f>ROUND(36.75*0.6*0,0)</f>
        <v>0</v>
      </c>
      <c r="EC16" s="676">
        <v>3.1</v>
      </c>
      <c r="ED16" s="556">
        <f>ROUND(36.75*0.6*3.1,0)</f>
        <v>68</v>
      </c>
      <c r="EE16" s="676">
        <v>4.2</v>
      </c>
      <c r="EF16" s="556">
        <f>ROUND(36.75*0.6*4.2,0)</f>
        <v>93</v>
      </c>
      <c r="EG16" s="676">
        <v>5.6</v>
      </c>
      <c r="EH16" s="556">
        <f>ROUND(36.75*0.6*5.6,0)</f>
        <v>123</v>
      </c>
      <c r="EI16" s="676">
        <v>6.7</v>
      </c>
      <c r="EJ16" s="556">
        <f>ROUND(36.75*0.6*6.7,0)</f>
        <v>148</v>
      </c>
      <c r="EK16" s="676">
        <v>7.7</v>
      </c>
      <c r="EL16" s="556">
        <f>ROUND(36.75*0.6*7.7,0)</f>
        <v>170</v>
      </c>
      <c r="EM16" s="676">
        <v>8.4</v>
      </c>
      <c r="EN16" s="556">
        <f>ROUND(36.75*0.6*8.4,0)</f>
        <v>185</v>
      </c>
      <c r="EO16" s="676">
        <v>8.5</v>
      </c>
      <c r="EP16" s="556">
        <f>ROUND(36.75*0.6*8.5,0)</f>
        <v>187</v>
      </c>
      <c r="EQ16" s="676">
        <v>8.3000000000000007</v>
      </c>
      <c r="ER16" s="556">
        <f>ROUND(36.75*0.6*8.3,0)</f>
        <v>183</v>
      </c>
      <c r="ES16" s="676">
        <v>7.6</v>
      </c>
      <c r="ET16" s="556">
        <f>ROUND(36.75*0.6*7.6,0)</f>
        <v>168</v>
      </c>
      <c r="EU16" s="676">
        <v>6.5</v>
      </c>
      <c r="EV16" s="556">
        <f>ROUND(36.75*0.6*6.5,0)</f>
        <v>143</v>
      </c>
      <c r="EW16" s="676">
        <v>0</v>
      </c>
      <c r="EX16" s="556">
        <f>ROUND(36.75*0.6*0,0)</f>
        <v>0</v>
      </c>
      <c r="EY16" s="676">
        <v>0</v>
      </c>
      <c r="EZ16" s="556">
        <f>ROUND(36.75*0.6*0,0)</f>
        <v>0</v>
      </c>
      <c r="FA16" s="676">
        <v>0</v>
      </c>
      <c r="FB16" s="556">
        <f>ROUND(36.75*0.6*0,0)</f>
        <v>0</v>
      </c>
      <c r="FC16" s="676">
        <v>0</v>
      </c>
      <c r="FD16" s="556">
        <f>ROUND(36.75*0.6*0,0)</f>
        <v>0</v>
      </c>
      <c r="FE16" s="676">
        <v>0</v>
      </c>
      <c r="FF16" s="556">
        <f>ROUND(36.75*0.6*0,0)</f>
        <v>0</v>
      </c>
      <c r="FG16" s="676">
        <v>0</v>
      </c>
      <c r="FH16" s="677">
        <f>ROUND(36.75*0.6*0,0)</f>
        <v>0</v>
      </c>
      <c r="FI16" s="560"/>
      <c r="FJ16" s="561"/>
      <c r="FK16" s="551" t="s">
        <v>216</v>
      </c>
      <c r="FL16" s="672" t="s">
        <v>67</v>
      </c>
      <c r="FM16" s="552">
        <v>36.75</v>
      </c>
      <c r="FN16" s="673">
        <v>0.6</v>
      </c>
      <c r="FO16" s="674"/>
      <c r="FP16" s="678">
        <v>9</v>
      </c>
      <c r="FQ16" s="679">
        <v>20</v>
      </c>
      <c r="FR16" s="556">
        <f>ROUND(36.75*0.6*20,0)</f>
        <v>441</v>
      </c>
      <c r="FS16" s="680">
        <v>9</v>
      </c>
      <c r="FT16" s="679">
        <v>20.5</v>
      </c>
      <c r="FU16" s="564">
        <f>ROUND(36.75*0.6*20.5,0)</f>
        <v>452</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216</v>
      </c>
      <c r="C17" s="684" t="s">
        <v>69</v>
      </c>
      <c r="D17" s="580">
        <v>21.06</v>
      </c>
      <c r="E17" s="685">
        <v>0.6</v>
      </c>
      <c r="F17" s="686"/>
      <c r="G17" s="687">
        <v>0</v>
      </c>
      <c r="H17" s="584">
        <f>ROUND(21.06*0.6*0,0)</f>
        <v>0</v>
      </c>
      <c r="I17" s="688">
        <v>0</v>
      </c>
      <c r="J17" s="584">
        <f>ROUND(21.06*0.6*0,0)</f>
        <v>0</v>
      </c>
      <c r="K17" s="688">
        <v>0</v>
      </c>
      <c r="L17" s="584">
        <f>ROUND(21.06*0.6*0,0)</f>
        <v>0</v>
      </c>
      <c r="M17" s="688">
        <v>0</v>
      </c>
      <c r="N17" s="584">
        <f>ROUND(21.06*0.6*0,0)</f>
        <v>0</v>
      </c>
      <c r="O17" s="688">
        <v>0</v>
      </c>
      <c r="P17" s="584">
        <f>ROUND(21.06*0.6*0,0)</f>
        <v>0</v>
      </c>
      <c r="Q17" s="688">
        <v>0</v>
      </c>
      <c r="R17" s="584">
        <f>ROUND(21.06*0.6*0,0)</f>
        <v>0</v>
      </c>
      <c r="S17" s="688">
        <v>0</v>
      </c>
      <c r="T17" s="584">
        <f>ROUND(21.06*0.6*0,0)</f>
        <v>0</v>
      </c>
      <c r="U17" s="688">
        <v>0</v>
      </c>
      <c r="V17" s="584">
        <f>ROUND(21.06*0.6*0,0)</f>
        <v>0</v>
      </c>
      <c r="W17" s="688">
        <v>10.5</v>
      </c>
      <c r="X17" s="584">
        <f>ROUND(21.06*0.6*10.5,0)</f>
        <v>133</v>
      </c>
      <c r="Y17" s="688">
        <v>13.2</v>
      </c>
      <c r="Z17" s="584">
        <f>ROUND(21.06*0.6*13.2,0)</f>
        <v>167</v>
      </c>
      <c r="AA17" s="688">
        <v>15</v>
      </c>
      <c r="AB17" s="584">
        <f>ROUND(21.06*0.6*15,0)</f>
        <v>190</v>
      </c>
      <c r="AC17" s="688">
        <v>15.5</v>
      </c>
      <c r="AD17" s="584">
        <f>ROUND(21.06*0.6*15.5,0)</f>
        <v>196</v>
      </c>
      <c r="AE17" s="688">
        <v>14.9</v>
      </c>
      <c r="AF17" s="584">
        <f>ROUND(21.06*0.6*14.9,0)</f>
        <v>188</v>
      </c>
      <c r="AG17" s="688">
        <v>14.2</v>
      </c>
      <c r="AH17" s="584">
        <f>ROUND(21.06*0.6*14.2,0)</f>
        <v>179</v>
      </c>
      <c r="AI17" s="688">
        <v>13.5</v>
      </c>
      <c r="AJ17" s="584">
        <f>ROUND(21.06*0.6*13.5,0)</f>
        <v>171</v>
      </c>
      <c r="AK17" s="688">
        <v>12.7</v>
      </c>
      <c r="AL17" s="584">
        <f>ROUND(21.06*0.6*12.7,0)</f>
        <v>160</v>
      </c>
      <c r="AM17" s="688">
        <v>11.6</v>
      </c>
      <c r="AN17" s="584">
        <f>ROUND(21.06*0.6*11.6,0)</f>
        <v>147</v>
      </c>
      <c r="AO17" s="688">
        <v>10.199999999999999</v>
      </c>
      <c r="AP17" s="584">
        <f>ROUND(21.06*0.6*10.2,0)</f>
        <v>129</v>
      </c>
      <c r="AQ17" s="688">
        <v>0</v>
      </c>
      <c r="AR17" s="584">
        <f>ROUND(21.06*0.6*0,0)</f>
        <v>0</v>
      </c>
      <c r="AS17" s="688">
        <v>0</v>
      </c>
      <c r="AT17" s="584">
        <f>ROUND(21.06*0.6*0,0)</f>
        <v>0</v>
      </c>
      <c r="AU17" s="688">
        <v>0</v>
      </c>
      <c r="AV17" s="584">
        <f>ROUND(21.06*0.6*0,0)</f>
        <v>0</v>
      </c>
      <c r="AW17" s="688">
        <v>0</v>
      </c>
      <c r="AX17" s="584">
        <f>ROUND(21.06*0.6*0,0)</f>
        <v>0</v>
      </c>
      <c r="AY17" s="688">
        <v>0</v>
      </c>
      <c r="AZ17" s="584">
        <f>ROUND(21.06*0.6*0,0)</f>
        <v>0</v>
      </c>
      <c r="BA17" s="688">
        <v>0</v>
      </c>
      <c r="BB17" s="586">
        <f>ROUND(21.06*0.6*0,0)</f>
        <v>0</v>
      </c>
      <c r="BC17" s="559"/>
      <c r="BD17" s="549"/>
      <c r="BE17" s="579" t="s">
        <v>216</v>
      </c>
      <c r="BF17" s="684" t="s">
        <v>69</v>
      </c>
      <c r="BG17" s="580">
        <v>21.06</v>
      </c>
      <c r="BH17" s="685">
        <v>0.6</v>
      </c>
      <c r="BI17" s="686"/>
      <c r="BJ17" s="687">
        <v>0</v>
      </c>
      <c r="BK17" s="584">
        <f>ROUND(21.06*0.6*0,0)</f>
        <v>0</v>
      </c>
      <c r="BL17" s="688">
        <v>0</v>
      </c>
      <c r="BM17" s="584">
        <f>ROUND(21.06*0.6*0,0)</f>
        <v>0</v>
      </c>
      <c r="BN17" s="688">
        <v>0</v>
      </c>
      <c r="BO17" s="584">
        <f>ROUND(21.06*0.6*0,0)</f>
        <v>0</v>
      </c>
      <c r="BP17" s="688">
        <v>0</v>
      </c>
      <c r="BQ17" s="584">
        <f>ROUND(21.06*0.6*0,0)</f>
        <v>0</v>
      </c>
      <c r="BR17" s="688">
        <v>0</v>
      </c>
      <c r="BS17" s="584">
        <f>ROUND(21.06*0.6*0,0)</f>
        <v>0</v>
      </c>
      <c r="BT17" s="688">
        <v>0</v>
      </c>
      <c r="BU17" s="584">
        <f>ROUND(21.06*0.6*0,0)</f>
        <v>0</v>
      </c>
      <c r="BV17" s="688">
        <v>0</v>
      </c>
      <c r="BW17" s="584">
        <f>ROUND(21.06*0.6*0,0)</f>
        <v>0</v>
      </c>
      <c r="BX17" s="688">
        <v>0</v>
      </c>
      <c r="BY17" s="584">
        <f>ROUND(21.06*0.6*0,0)</f>
        <v>0</v>
      </c>
      <c r="BZ17" s="688">
        <v>15.6</v>
      </c>
      <c r="CA17" s="584">
        <f>ROUND(21.06*0.6*15.6,0)</f>
        <v>197</v>
      </c>
      <c r="CB17" s="688">
        <v>18.5</v>
      </c>
      <c r="CC17" s="584">
        <f>ROUND(21.06*0.6*18.5,0)</f>
        <v>234</v>
      </c>
      <c r="CD17" s="688">
        <v>19.5</v>
      </c>
      <c r="CE17" s="584">
        <f>ROUND(21.06*0.6*19.5,0)</f>
        <v>246</v>
      </c>
      <c r="CF17" s="688">
        <v>18.8</v>
      </c>
      <c r="CG17" s="584">
        <f>ROUND(21.06*0.6*18.8,0)</f>
        <v>238</v>
      </c>
      <c r="CH17" s="688">
        <v>16.8</v>
      </c>
      <c r="CI17" s="584">
        <f>ROUND(21.06*0.6*16.8,0)</f>
        <v>212</v>
      </c>
      <c r="CJ17" s="688">
        <v>14.9</v>
      </c>
      <c r="CK17" s="584">
        <f>ROUND(21.06*0.6*14.9,0)</f>
        <v>188</v>
      </c>
      <c r="CL17" s="688">
        <v>13.6</v>
      </c>
      <c r="CM17" s="584">
        <f>ROUND(21.06*0.6*13.6,0)</f>
        <v>172</v>
      </c>
      <c r="CN17" s="688">
        <v>12.4</v>
      </c>
      <c r="CO17" s="584">
        <f>ROUND(21.06*0.6*12.4,0)</f>
        <v>157</v>
      </c>
      <c r="CP17" s="688">
        <v>11.2</v>
      </c>
      <c r="CQ17" s="584">
        <f>ROUND(21.06*0.6*11.2,0)</f>
        <v>142</v>
      </c>
      <c r="CR17" s="688">
        <v>9.9</v>
      </c>
      <c r="CS17" s="584">
        <f>ROUND(21.06*0.6*9.9,0)</f>
        <v>125</v>
      </c>
      <c r="CT17" s="688">
        <v>0</v>
      </c>
      <c r="CU17" s="584">
        <f>ROUND(21.06*0.6*0,0)</f>
        <v>0</v>
      </c>
      <c r="CV17" s="688">
        <v>0</v>
      </c>
      <c r="CW17" s="584">
        <f>ROUND(21.06*0.6*0,0)</f>
        <v>0</v>
      </c>
      <c r="CX17" s="688">
        <v>0</v>
      </c>
      <c r="CY17" s="584">
        <f>ROUND(21.06*0.6*0,0)</f>
        <v>0</v>
      </c>
      <c r="CZ17" s="688">
        <v>0</v>
      </c>
      <c r="DA17" s="584">
        <f>ROUND(21.06*0.6*0,0)</f>
        <v>0</v>
      </c>
      <c r="DB17" s="688">
        <v>0</v>
      </c>
      <c r="DC17" s="584">
        <f>ROUND(21.06*0.6*0,0)</f>
        <v>0</v>
      </c>
      <c r="DD17" s="688">
        <v>0</v>
      </c>
      <c r="DE17" s="586">
        <f>ROUND(21.06*0.6*0,0)</f>
        <v>0</v>
      </c>
      <c r="DF17" s="559"/>
      <c r="DG17" s="549"/>
      <c r="DH17" s="579" t="s">
        <v>216</v>
      </c>
      <c r="DI17" s="684" t="s">
        <v>69</v>
      </c>
      <c r="DJ17" s="580">
        <v>21.06</v>
      </c>
      <c r="DK17" s="685">
        <v>0.6</v>
      </c>
      <c r="DL17" s="686"/>
      <c r="DM17" s="687">
        <v>0</v>
      </c>
      <c r="DN17" s="584">
        <f>ROUND(21.06*0.6*0,0)</f>
        <v>0</v>
      </c>
      <c r="DO17" s="688">
        <v>0</v>
      </c>
      <c r="DP17" s="584">
        <f>ROUND(21.06*0.6*0,0)</f>
        <v>0</v>
      </c>
      <c r="DQ17" s="688">
        <v>0</v>
      </c>
      <c r="DR17" s="584">
        <f>ROUND(21.06*0.6*0,0)</f>
        <v>0</v>
      </c>
      <c r="DS17" s="688">
        <v>0</v>
      </c>
      <c r="DT17" s="584">
        <f>ROUND(21.06*0.6*0,0)</f>
        <v>0</v>
      </c>
      <c r="DU17" s="688">
        <v>0</v>
      </c>
      <c r="DV17" s="584">
        <f>ROUND(21.06*0.6*0,0)</f>
        <v>0</v>
      </c>
      <c r="DW17" s="688">
        <v>0</v>
      </c>
      <c r="DX17" s="584">
        <f>ROUND(21.06*0.6*0,0)</f>
        <v>0</v>
      </c>
      <c r="DY17" s="688">
        <v>0</v>
      </c>
      <c r="DZ17" s="584">
        <f>ROUND(21.06*0.6*0,0)</f>
        <v>0</v>
      </c>
      <c r="EA17" s="688">
        <v>0</v>
      </c>
      <c r="EB17" s="584">
        <f>ROUND(21.06*0.6*0,0)</f>
        <v>0</v>
      </c>
      <c r="EC17" s="688">
        <v>13.4</v>
      </c>
      <c r="ED17" s="584">
        <f>ROUND(21.06*0.6*13.4,0)</f>
        <v>169</v>
      </c>
      <c r="EE17" s="688">
        <v>16.600000000000001</v>
      </c>
      <c r="EF17" s="584">
        <f>ROUND(21.06*0.6*16.6,0)</f>
        <v>210</v>
      </c>
      <c r="EG17" s="688">
        <v>18</v>
      </c>
      <c r="EH17" s="584">
        <f>ROUND(21.06*0.6*18,0)</f>
        <v>227</v>
      </c>
      <c r="EI17" s="688">
        <v>17.399999999999999</v>
      </c>
      <c r="EJ17" s="584">
        <f>ROUND(21.06*0.6*17.4,0)</f>
        <v>220</v>
      </c>
      <c r="EK17" s="688">
        <v>15.3</v>
      </c>
      <c r="EL17" s="584">
        <f>ROUND(21.06*0.6*15.3,0)</f>
        <v>193</v>
      </c>
      <c r="EM17" s="688">
        <v>13.2</v>
      </c>
      <c r="EN17" s="584">
        <f>ROUND(21.06*0.6*13.2,0)</f>
        <v>167</v>
      </c>
      <c r="EO17" s="688">
        <v>11.6</v>
      </c>
      <c r="EP17" s="584">
        <f>ROUND(21.06*0.6*11.6,0)</f>
        <v>147</v>
      </c>
      <c r="EQ17" s="688">
        <v>10.199999999999999</v>
      </c>
      <c r="ER17" s="584">
        <f>ROUND(21.06*0.6*10.2,0)</f>
        <v>129</v>
      </c>
      <c r="ES17" s="688">
        <v>8.8000000000000007</v>
      </c>
      <c r="ET17" s="584">
        <f>ROUND(21.06*0.6*8.8,0)</f>
        <v>111</v>
      </c>
      <c r="EU17" s="688">
        <v>7.2</v>
      </c>
      <c r="EV17" s="584">
        <f>ROUND(21.06*0.6*7.2,0)</f>
        <v>91</v>
      </c>
      <c r="EW17" s="688">
        <v>0</v>
      </c>
      <c r="EX17" s="584">
        <f>ROUND(21.06*0.6*0,0)</f>
        <v>0</v>
      </c>
      <c r="EY17" s="688">
        <v>0</v>
      </c>
      <c r="EZ17" s="584">
        <f>ROUND(21.06*0.6*0,0)</f>
        <v>0</v>
      </c>
      <c r="FA17" s="688">
        <v>0</v>
      </c>
      <c r="FB17" s="584">
        <f>ROUND(21.06*0.6*0,0)</f>
        <v>0</v>
      </c>
      <c r="FC17" s="688">
        <v>0</v>
      </c>
      <c r="FD17" s="584">
        <f>ROUND(21.06*0.6*0,0)</f>
        <v>0</v>
      </c>
      <c r="FE17" s="688">
        <v>0</v>
      </c>
      <c r="FF17" s="584">
        <f>ROUND(21.06*0.6*0,0)</f>
        <v>0</v>
      </c>
      <c r="FG17" s="688">
        <v>0</v>
      </c>
      <c r="FH17" s="586">
        <f>ROUND(21.06*0.6*0,0)</f>
        <v>0</v>
      </c>
      <c r="FI17" s="560"/>
      <c r="FJ17" s="561"/>
      <c r="FK17" s="579" t="s">
        <v>216</v>
      </c>
      <c r="FL17" s="684" t="s">
        <v>69</v>
      </c>
      <c r="FM17" s="580">
        <v>21.06</v>
      </c>
      <c r="FN17" s="685">
        <v>0.6</v>
      </c>
      <c r="FO17" s="686"/>
      <c r="FP17" s="689">
        <v>9</v>
      </c>
      <c r="FQ17" s="690">
        <v>20</v>
      </c>
      <c r="FR17" s="584">
        <f>ROUND(21.06*0.6*20,0)</f>
        <v>253</v>
      </c>
      <c r="FS17" s="691">
        <v>9</v>
      </c>
      <c r="FT17" s="690">
        <v>20.5</v>
      </c>
      <c r="FU17" s="589">
        <f>ROUND(21.06*0.6*20.5,0)</f>
        <v>259</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226</v>
      </c>
      <c r="C18" s="684" t="s">
        <v>69</v>
      </c>
      <c r="D18" s="580">
        <v>5.4</v>
      </c>
      <c r="E18" s="685" t="s">
        <v>349</v>
      </c>
      <c r="F18" s="686"/>
      <c r="G18" s="687">
        <v>0</v>
      </c>
      <c r="H18" s="584">
        <f>ROUND(5.4*4.2*0,0)</f>
        <v>0</v>
      </c>
      <c r="I18" s="688">
        <v>0</v>
      </c>
      <c r="J18" s="584">
        <f>ROUND(5.4*4.2*0,0)</f>
        <v>0</v>
      </c>
      <c r="K18" s="688">
        <v>0</v>
      </c>
      <c r="L18" s="584">
        <f>ROUND(5.4*4.2*0,0)</f>
        <v>0</v>
      </c>
      <c r="M18" s="688">
        <v>0</v>
      </c>
      <c r="N18" s="584">
        <f>ROUND(5.4*4.2*0,0)</f>
        <v>0</v>
      </c>
      <c r="O18" s="688">
        <v>0</v>
      </c>
      <c r="P18" s="584">
        <f>ROUND(5.4*4.2*0,0)</f>
        <v>0</v>
      </c>
      <c r="Q18" s="688">
        <v>0</v>
      </c>
      <c r="R18" s="584">
        <f>ROUND(5.4*4.2*0,0)</f>
        <v>0</v>
      </c>
      <c r="S18" s="688">
        <v>0</v>
      </c>
      <c r="T18" s="584">
        <f>ROUND(5.4*4.2*0,0)</f>
        <v>0</v>
      </c>
      <c r="U18" s="688">
        <v>0</v>
      </c>
      <c r="V18" s="584">
        <f>ROUND(5.4*4.2*0,0)</f>
        <v>0</v>
      </c>
      <c r="W18" s="688">
        <v>5.3</v>
      </c>
      <c r="X18" s="584">
        <f>ROUND(5.4*4.2*5.3,0)</f>
        <v>120</v>
      </c>
      <c r="Y18" s="688">
        <v>6.5</v>
      </c>
      <c r="Z18" s="584">
        <f>ROUND(5.4*4.2*6.5,0)</f>
        <v>147</v>
      </c>
      <c r="AA18" s="688">
        <v>7.2</v>
      </c>
      <c r="AB18" s="584">
        <f>ROUND(5.4*4.2*7.2,0)</f>
        <v>163</v>
      </c>
      <c r="AC18" s="688">
        <v>7.7</v>
      </c>
      <c r="AD18" s="584">
        <f>ROUND(5.4*4.2*7.7,0)</f>
        <v>175</v>
      </c>
      <c r="AE18" s="688">
        <v>7.9</v>
      </c>
      <c r="AF18" s="584">
        <f>ROUND(5.4*4.2*7.9,0)</f>
        <v>179</v>
      </c>
      <c r="AG18" s="688">
        <v>7.9</v>
      </c>
      <c r="AH18" s="584">
        <f>ROUND(5.4*4.2*7.9,0)</f>
        <v>179</v>
      </c>
      <c r="AI18" s="688">
        <v>7.4</v>
      </c>
      <c r="AJ18" s="584">
        <f>ROUND(5.4*4.2*7.4,0)</f>
        <v>168</v>
      </c>
      <c r="AK18" s="688">
        <v>6.9</v>
      </c>
      <c r="AL18" s="584">
        <f>ROUND(5.4*4.2*6.9,0)</f>
        <v>156</v>
      </c>
      <c r="AM18" s="688">
        <v>6</v>
      </c>
      <c r="AN18" s="584">
        <f>ROUND(5.4*4.2*6,0)</f>
        <v>136</v>
      </c>
      <c r="AO18" s="688">
        <v>5.3</v>
      </c>
      <c r="AP18" s="584">
        <f>ROUND(5.4*4.2*5.3,0)</f>
        <v>120</v>
      </c>
      <c r="AQ18" s="688">
        <v>0</v>
      </c>
      <c r="AR18" s="584">
        <f>ROUND(5.4*4.2*0,0)</f>
        <v>0</v>
      </c>
      <c r="AS18" s="688">
        <v>0</v>
      </c>
      <c r="AT18" s="584">
        <f>ROUND(5.4*4.2*0,0)</f>
        <v>0</v>
      </c>
      <c r="AU18" s="688">
        <v>0</v>
      </c>
      <c r="AV18" s="584">
        <f>ROUND(5.4*4.2*0,0)</f>
        <v>0</v>
      </c>
      <c r="AW18" s="688">
        <v>0</v>
      </c>
      <c r="AX18" s="584">
        <f>ROUND(5.4*4.2*0,0)</f>
        <v>0</v>
      </c>
      <c r="AY18" s="688">
        <v>0</v>
      </c>
      <c r="AZ18" s="584">
        <f>ROUND(5.4*4.2*0,0)</f>
        <v>0</v>
      </c>
      <c r="BA18" s="688">
        <v>0</v>
      </c>
      <c r="BB18" s="586">
        <f>ROUND(5.4*4.2*0,0)</f>
        <v>0</v>
      </c>
      <c r="BC18" s="559"/>
      <c r="BD18" s="549"/>
      <c r="BE18" s="693" t="s">
        <v>226</v>
      </c>
      <c r="BF18" s="684" t="s">
        <v>69</v>
      </c>
      <c r="BG18" s="580">
        <v>5.4</v>
      </c>
      <c r="BH18" s="685" t="s">
        <v>349</v>
      </c>
      <c r="BI18" s="686"/>
      <c r="BJ18" s="687">
        <v>0</v>
      </c>
      <c r="BK18" s="584">
        <f>ROUND(5.4*4.2*0,0)</f>
        <v>0</v>
      </c>
      <c r="BL18" s="688">
        <v>0</v>
      </c>
      <c r="BM18" s="584">
        <f>ROUND(5.4*4.2*0,0)</f>
        <v>0</v>
      </c>
      <c r="BN18" s="688">
        <v>0</v>
      </c>
      <c r="BO18" s="584">
        <f>ROUND(5.4*4.2*0,0)</f>
        <v>0</v>
      </c>
      <c r="BP18" s="688">
        <v>0</v>
      </c>
      <c r="BQ18" s="584">
        <f>ROUND(5.4*4.2*0,0)</f>
        <v>0</v>
      </c>
      <c r="BR18" s="688">
        <v>0</v>
      </c>
      <c r="BS18" s="584">
        <f>ROUND(5.4*4.2*0,0)</f>
        <v>0</v>
      </c>
      <c r="BT18" s="688">
        <v>0</v>
      </c>
      <c r="BU18" s="584">
        <f>ROUND(5.4*4.2*0,0)</f>
        <v>0</v>
      </c>
      <c r="BV18" s="688">
        <v>0</v>
      </c>
      <c r="BW18" s="584">
        <f>ROUND(5.4*4.2*0,0)</f>
        <v>0</v>
      </c>
      <c r="BX18" s="688">
        <v>0</v>
      </c>
      <c r="BY18" s="584">
        <f>ROUND(5.4*4.2*0,0)</f>
        <v>0</v>
      </c>
      <c r="BZ18" s="688">
        <v>5.0999999999999996</v>
      </c>
      <c r="CA18" s="584">
        <f>ROUND(5.4*4.2*5.1,0)</f>
        <v>116</v>
      </c>
      <c r="CB18" s="688">
        <v>6.1</v>
      </c>
      <c r="CC18" s="584">
        <f>ROUND(5.4*4.2*6.1,0)</f>
        <v>138</v>
      </c>
      <c r="CD18" s="688">
        <v>7</v>
      </c>
      <c r="CE18" s="584">
        <f>ROUND(5.4*4.2*7,0)</f>
        <v>159</v>
      </c>
      <c r="CF18" s="688">
        <v>7.4</v>
      </c>
      <c r="CG18" s="584">
        <f>ROUND(5.4*4.2*7.4,0)</f>
        <v>168</v>
      </c>
      <c r="CH18" s="688">
        <v>7.6</v>
      </c>
      <c r="CI18" s="584">
        <f>ROUND(5.4*4.2*7.6,0)</f>
        <v>172</v>
      </c>
      <c r="CJ18" s="688">
        <v>7.4</v>
      </c>
      <c r="CK18" s="584">
        <f>ROUND(5.4*4.2*7.4,0)</f>
        <v>168</v>
      </c>
      <c r="CL18" s="688">
        <v>6.9</v>
      </c>
      <c r="CM18" s="584">
        <f>ROUND(5.4*4.2*6.9,0)</f>
        <v>156</v>
      </c>
      <c r="CN18" s="688">
        <v>6.5</v>
      </c>
      <c r="CO18" s="584">
        <f>ROUND(5.4*4.2*6.5,0)</f>
        <v>147</v>
      </c>
      <c r="CP18" s="688">
        <v>6</v>
      </c>
      <c r="CQ18" s="584">
        <f>ROUND(5.4*4.2*6,0)</f>
        <v>136</v>
      </c>
      <c r="CR18" s="688">
        <v>5.0999999999999996</v>
      </c>
      <c r="CS18" s="584">
        <f>ROUND(5.4*4.2*5.1,0)</f>
        <v>116</v>
      </c>
      <c r="CT18" s="688">
        <v>0</v>
      </c>
      <c r="CU18" s="584">
        <f>ROUND(5.4*4.2*0,0)</f>
        <v>0</v>
      </c>
      <c r="CV18" s="688">
        <v>0</v>
      </c>
      <c r="CW18" s="584">
        <f>ROUND(5.4*4.2*0,0)</f>
        <v>0</v>
      </c>
      <c r="CX18" s="688">
        <v>0</v>
      </c>
      <c r="CY18" s="584">
        <f>ROUND(5.4*4.2*0,0)</f>
        <v>0</v>
      </c>
      <c r="CZ18" s="688">
        <v>0</v>
      </c>
      <c r="DA18" s="584">
        <f>ROUND(5.4*4.2*0,0)</f>
        <v>0</v>
      </c>
      <c r="DB18" s="688">
        <v>0</v>
      </c>
      <c r="DC18" s="584">
        <f>ROUND(5.4*4.2*0,0)</f>
        <v>0</v>
      </c>
      <c r="DD18" s="688">
        <v>0</v>
      </c>
      <c r="DE18" s="586">
        <f>ROUND(5.4*4.2*0,0)</f>
        <v>0</v>
      </c>
      <c r="DF18" s="559"/>
      <c r="DG18" s="549"/>
      <c r="DH18" s="693" t="s">
        <v>226</v>
      </c>
      <c r="DI18" s="684" t="s">
        <v>69</v>
      </c>
      <c r="DJ18" s="580">
        <v>5.4</v>
      </c>
      <c r="DK18" s="685" t="s">
        <v>349</v>
      </c>
      <c r="DL18" s="686"/>
      <c r="DM18" s="687">
        <v>0</v>
      </c>
      <c r="DN18" s="584">
        <f>ROUND(5.4*4.2*0,0)</f>
        <v>0</v>
      </c>
      <c r="DO18" s="688">
        <v>0</v>
      </c>
      <c r="DP18" s="584">
        <f>ROUND(5.4*4.2*0,0)</f>
        <v>0</v>
      </c>
      <c r="DQ18" s="688">
        <v>0</v>
      </c>
      <c r="DR18" s="584">
        <f>ROUND(5.4*4.2*0,0)</f>
        <v>0</v>
      </c>
      <c r="DS18" s="688">
        <v>0</v>
      </c>
      <c r="DT18" s="584">
        <f>ROUND(5.4*4.2*0,0)</f>
        <v>0</v>
      </c>
      <c r="DU18" s="688">
        <v>0</v>
      </c>
      <c r="DV18" s="584">
        <f>ROUND(5.4*4.2*0,0)</f>
        <v>0</v>
      </c>
      <c r="DW18" s="688">
        <v>0</v>
      </c>
      <c r="DX18" s="584">
        <f>ROUND(5.4*4.2*0,0)</f>
        <v>0</v>
      </c>
      <c r="DY18" s="688">
        <v>0</v>
      </c>
      <c r="DZ18" s="584">
        <f>ROUND(5.4*4.2*0,0)</f>
        <v>0</v>
      </c>
      <c r="EA18" s="688">
        <v>0</v>
      </c>
      <c r="EB18" s="584">
        <f>ROUND(5.4*4.2*0,0)</f>
        <v>0</v>
      </c>
      <c r="EC18" s="688">
        <v>2.8</v>
      </c>
      <c r="ED18" s="584">
        <f>ROUND(5.4*4.2*2.8,0)</f>
        <v>64</v>
      </c>
      <c r="EE18" s="688">
        <v>4.0999999999999996</v>
      </c>
      <c r="EF18" s="584">
        <f>ROUND(5.4*4.2*4.1,0)</f>
        <v>93</v>
      </c>
      <c r="EG18" s="688">
        <v>4.9000000000000004</v>
      </c>
      <c r="EH18" s="584">
        <f>ROUND(5.4*4.2*4.9,0)</f>
        <v>111</v>
      </c>
      <c r="EI18" s="688">
        <v>5.6</v>
      </c>
      <c r="EJ18" s="584">
        <f>ROUND(5.4*4.2*5.6,0)</f>
        <v>127</v>
      </c>
      <c r="EK18" s="688">
        <v>5.8</v>
      </c>
      <c r="EL18" s="584">
        <f>ROUND(5.4*4.2*5.8,0)</f>
        <v>132</v>
      </c>
      <c r="EM18" s="688">
        <v>5.5</v>
      </c>
      <c r="EN18" s="584">
        <f>ROUND(5.4*4.2*5.5,0)</f>
        <v>125</v>
      </c>
      <c r="EO18" s="688">
        <v>5.0999999999999996</v>
      </c>
      <c r="EP18" s="584">
        <f>ROUND(5.4*4.2*5.1,0)</f>
        <v>116</v>
      </c>
      <c r="EQ18" s="688">
        <v>4.7</v>
      </c>
      <c r="ER18" s="584">
        <f>ROUND(5.4*4.2*4.7,0)</f>
        <v>107</v>
      </c>
      <c r="ES18" s="688">
        <v>3.7</v>
      </c>
      <c r="ET18" s="584">
        <f>ROUND(5.4*4.2*3.7,0)</f>
        <v>84</v>
      </c>
      <c r="EU18" s="688">
        <v>2.7</v>
      </c>
      <c r="EV18" s="584">
        <f>ROUND(5.4*4.2*2.7,0)</f>
        <v>61</v>
      </c>
      <c r="EW18" s="688">
        <v>0</v>
      </c>
      <c r="EX18" s="584">
        <f>ROUND(5.4*4.2*0,0)</f>
        <v>0</v>
      </c>
      <c r="EY18" s="688">
        <v>0</v>
      </c>
      <c r="EZ18" s="584">
        <f>ROUND(5.4*4.2*0,0)</f>
        <v>0</v>
      </c>
      <c r="FA18" s="688">
        <v>0</v>
      </c>
      <c r="FB18" s="584">
        <f>ROUND(5.4*4.2*0,0)</f>
        <v>0</v>
      </c>
      <c r="FC18" s="688">
        <v>0</v>
      </c>
      <c r="FD18" s="584">
        <f>ROUND(5.4*4.2*0,0)</f>
        <v>0</v>
      </c>
      <c r="FE18" s="688">
        <v>0</v>
      </c>
      <c r="FF18" s="584">
        <f>ROUND(5.4*4.2*0,0)</f>
        <v>0</v>
      </c>
      <c r="FG18" s="688">
        <v>0</v>
      </c>
      <c r="FH18" s="586">
        <f>ROUND(5.4*4.2*0,0)</f>
        <v>0</v>
      </c>
      <c r="FI18" s="560"/>
      <c r="FJ18" s="561"/>
      <c r="FK18" s="693" t="s">
        <v>226</v>
      </c>
      <c r="FL18" s="684" t="s">
        <v>69</v>
      </c>
      <c r="FM18" s="580">
        <v>5.4</v>
      </c>
      <c r="FN18" s="685" t="s">
        <v>349</v>
      </c>
      <c r="FO18" s="686"/>
      <c r="FP18" s="689">
        <v>9</v>
      </c>
      <c r="FQ18" s="690">
        <v>20</v>
      </c>
      <c r="FR18" s="584">
        <f>ROUND(5.4*4.2*20,0)</f>
        <v>454</v>
      </c>
      <c r="FS18" s="691">
        <v>9</v>
      </c>
      <c r="FT18" s="690">
        <v>20.5</v>
      </c>
      <c r="FU18" s="589">
        <f>ROUND(5.4*4.2*20.5,0)</f>
        <v>465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247</v>
      </c>
      <c r="C19" s="684"/>
      <c r="D19" s="580">
        <v>10.92</v>
      </c>
      <c r="E19" s="685">
        <v>2.5</v>
      </c>
      <c r="F19" s="686"/>
      <c r="G19" s="687">
        <v>0</v>
      </c>
      <c r="H19" s="584">
        <f>ROUND(10.92*2.5*0,0)</f>
        <v>0</v>
      </c>
      <c r="I19" s="688">
        <v>0</v>
      </c>
      <c r="J19" s="584">
        <f>ROUND(10.92*2.5*0,0)</f>
        <v>0</v>
      </c>
      <c r="K19" s="688">
        <v>0</v>
      </c>
      <c r="L19" s="584">
        <f>ROUND(10.92*2.5*0,0)</f>
        <v>0</v>
      </c>
      <c r="M19" s="688">
        <v>0</v>
      </c>
      <c r="N19" s="584">
        <f>ROUND(10.92*2.5*0,0)</f>
        <v>0</v>
      </c>
      <c r="O19" s="688">
        <v>0</v>
      </c>
      <c r="P19" s="584">
        <f>ROUND(10.92*2.5*0,0)</f>
        <v>0</v>
      </c>
      <c r="Q19" s="688">
        <v>0</v>
      </c>
      <c r="R19" s="584">
        <f>ROUND(10.92*2.5*0,0)</f>
        <v>0</v>
      </c>
      <c r="S19" s="688">
        <v>0</v>
      </c>
      <c r="T19" s="584">
        <f>ROUND(10.92*2.5*0,0)</f>
        <v>0</v>
      </c>
      <c r="U19" s="688">
        <v>0</v>
      </c>
      <c r="V19" s="584">
        <f>ROUND(10.92*2.5*0,0)</f>
        <v>0</v>
      </c>
      <c r="W19" s="688">
        <v>2.7</v>
      </c>
      <c r="X19" s="584">
        <f>ROUND(10.92*2.5*2.7,0)</f>
        <v>74</v>
      </c>
      <c r="Y19" s="688">
        <v>3.2</v>
      </c>
      <c r="Z19" s="584">
        <f>ROUND(10.92*2.5*3.2,0)</f>
        <v>87</v>
      </c>
      <c r="AA19" s="688">
        <v>3.6</v>
      </c>
      <c r="AB19" s="584">
        <f>ROUND(10.92*2.5*3.6,0)</f>
        <v>98</v>
      </c>
      <c r="AC19" s="688">
        <v>3.9</v>
      </c>
      <c r="AD19" s="584">
        <f>ROUND(10.92*2.5*3.9,0)</f>
        <v>106</v>
      </c>
      <c r="AE19" s="688">
        <v>3.9</v>
      </c>
      <c r="AF19" s="584">
        <f>ROUND(10.92*2.5*3.9,0)</f>
        <v>106</v>
      </c>
      <c r="AG19" s="688">
        <v>3.9</v>
      </c>
      <c r="AH19" s="584">
        <f>ROUND(10.92*2.5*3.9,0)</f>
        <v>106</v>
      </c>
      <c r="AI19" s="688">
        <v>3.7</v>
      </c>
      <c r="AJ19" s="584">
        <f>ROUND(10.92*2.5*3.7,0)</f>
        <v>101</v>
      </c>
      <c r="AK19" s="688">
        <v>3.4</v>
      </c>
      <c r="AL19" s="584">
        <f>ROUND(10.92*2.5*3.4,0)</f>
        <v>93</v>
      </c>
      <c r="AM19" s="688">
        <v>3</v>
      </c>
      <c r="AN19" s="584">
        <f>ROUND(10.92*2.5*3,0)</f>
        <v>82</v>
      </c>
      <c r="AO19" s="688">
        <v>2.7</v>
      </c>
      <c r="AP19" s="584">
        <f>ROUND(10.92*2.5*2.7,0)</f>
        <v>74</v>
      </c>
      <c r="AQ19" s="688">
        <v>0</v>
      </c>
      <c r="AR19" s="584">
        <f>ROUND(10.92*2.5*0,0)</f>
        <v>0</v>
      </c>
      <c r="AS19" s="688">
        <v>0</v>
      </c>
      <c r="AT19" s="584">
        <f>ROUND(10.92*2.5*0,0)</f>
        <v>0</v>
      </c>
      <c r="AU19" s="688">
        <v>0</v>
      </c>
      <c r="AV19" s="584">
        <f>ROUND(10.92*2.5*0,0)</f>
        <v>0</v>
      </c>
      <c r="AW19" s="688">
        <v>0</v>
      </c>
      <c r="AX19" s="584">
        <f>ROUND(10.92*2.5*0,0)</f>
        <v>0</v>
      </c>
      <c r="AY19" s="688">
        <v>0</v>
      </c>
      <c r="AZ19" s="584">
        <f>ROUND(10.92*2.5*0,0)</f>
        <v>0</v>
      </c>
      <c r="BA19" s="688">
        <v>0</v>
      </c>
      <c r="BB19" s="586">
        <f>ROUND(10.92*2.5*0,0)</f>
        <v>0</v>
      </c>
      <c r="BC19" s="559"/>
      <c r="BD19" s="549"/>
      <c r="BE19" s="693" t="s">
        <v>247</v>
      </c>
      <c r="BF19" s="684"/>
      <c r="BG19" s="580">
        <v>10.92</v>
      </c>
      <c r="BH19" s="685">
        <v>2.5</v>
      </c>
      <c r="BI19" s="686"/>
      <c r="BJ19" s="687">
        <v>0</v>
      </c>
      <c r="BK19" s="584">
        <f>ROUND(10.92*2.5*0,0)</f>
        <v>0</v>
      </c>
      <c r="BL19" s="688">
        <v>0</v>
      </c>
      <c r="BM19" s="584">
        <f>ROUND(10.92*2.5*0,0)</f>
        <v>0</v>
      </c>
      <c r="BN19" s="688">
        <v>0</v>
      </c>
      <c r="BO19" s="584">
        <f>ROUND(10.92*2.5*0,0)</f>
        <v>0</v>
      </c>
      <c r="BP19" s="688">
        <v>0</v>
      </c>
      <c r="BQ19" s="584">
        <f>ROUND(10.92*2.5*0,0)</f>
        <v>0</v>
      </c>
      <c r="BR19" s="688">
        <v>0</v>
      </c>
      <c r="BS19" s="584">
        <f>ROUND(10.92*2.5*0,0)</f>
        <v>0</v>
      </c>
      <c r="BT19" s="688">
        <v>0</v>
      </c>
      <c r="BU19" s="584">
        <f>ROUND(10.92*2.5*0,0)</f>
        <v>0</v>
      </c>
      <c r="BV19" s="688">
        <v>0</v>
      </c>
      <c r="BW19" s="584">
        <f>ROUND(10.92*2.5*0,0)</f>
        <v>0</v>
      </c>
      <c r="BX19" s="688">
        <v>0</v>
      </c>
      <c r="BY19" s="584">
        <f>ROUND(10.92*2.5*0,0)</f>
        <v>0</v>
      </c>
      <c r="BZ19" s="688">
        <v>2.6</v>
      </c>
      <c r="CA19" s="584">
        <f>ROUND(10.92*2.5*2.6,0)</f>
        <v>71</v>
      </c>
      <c r="CB19" s="688">
        <v>3.1</v>
      </c>
      <c r="CC19" s="584">
        <f>ROUND(10.92*2.5*3.1,0)</f>
        <v>85</v>
      </c>
      <c r="CD19" s="688">
        <v>3.5</v>
      </c>
      <c r="CE19" s="584">
        <f>ROUND(10.92*2.5*3.5,0)</f>
        <v>96</v>
      </c>
      <c r="CF19" s="688">
        <v>3.7</v>
      </c>
      <c r="CG19" s="584">
        <f>ROUND(10.92*2.5*3.7,0)</f>
        <v>101</v>
      </c>
      <c r="CH19" s="688">
        <v>3.8</v>
      </c>
      <c r="CI19" s="584">
        <f>ROUND(10.92*2.5*3.8,0)</f>
        <v>104</v>
      </c>
      <c r="CJ19" s="688">
        <v>3.7</v>
      </c>
      <c r="CK19" s="584">
        <f>ROUND(10.92*2.5*3.7,0)</f>
        <v>101</v>
      </c>
      <c r="CL19" s="688">
        <v>3.4</v>
      </c>
      <c r="CM19" s="584">
        <f>ROUND(10.92*2.5*3.4,0)</f>
        <v>93</v>
      </c>
      <c r="CN19" s="688">
        <v>3.2</v>
      </c>
      <c r="CO19" s="584">
        <f>ROUND(10.92*2.5*3.2,0)</f>
        <v>87</v>
      </c>
      <c r="CP19" s="688">
        <v>3</v>
      </c>
      <c r="CQ19" s="584">
        <f>ROUND(10.92*2.5*3,0)</f>
        <v>82</v>
      </c>
      <c r="CR19" s="688">
        <v>2.6</v>
      </c>
      <c r="CS19" s="584">
        <f>ROUND(10.92*2.5*2.6,0)</f>
        <v>71</v>
      </c>
      <c r="CT19" s="688">
        <v>0</v>
      </c>
      <c r="CU19" s="584">
        <f>ROUND(10.92*2.5*0,0)</f>
        <v>0</v>
      </c>
      <c r="CV19" s="688">
        <v>0</v>
      </c>
      <c r="CW19" s="584">
        <f>ROUND(10.92*2.5*0,0)</f>
        <v>0</v>
      </c>
      <c r="CX19" s="688">
        <v>0</v>
      </c>
      <c r="CY19" s="584">
        <f>ROUND(10.92*2.5*0,0)</f>
        <v>0</v>
      </c>
      <c r="CZ19" s="688">
        <v>0</v>
      </c>
      <c r="DA19" s="584">
        <f>ROUND(10.92*2.5*0,0)</f>
        <v>0</v>
      </c>
      <c r="DB19" s="688">
        <v>0</v>
      </c>
      <c r="DC19" s="584">
        <f>ROUND(10.92*2.5*0,0)</f>
        <v>0</v>
      </c>
      <c r="DD19" s="688">
        <v>0</v>
      </c>
      <c r="DE19" s="586">
        <f>ROUND(10.92*2.5*0,0)</f>
        <v>0</v>
      </c>
      <c r="DF19" s="559"/>
      <c r="DG19" s="549"/>
      <c r="DH19" s="693" t="s">
        <v>247</v>
      </c>
      <c r="DI19" s="684"/>
      <c r="DJ19" s="580">
        <v>10.92</v>
      </c>
      <c r="DK19" s="685">
        <v>2.5</v>
      </c>
      <c r="DL19" s="686"/>
      <c r="DM19" s="687">
        <v>0</v>
      </c>
      <c r="DN19" s="584">
        <f>ROUND(10.92*2.5*0,0)</f>
        <v>0</v>
      </c>
      <c r="DO19" s="688">
        <v>0</v>
      </c>
      <c r="DP19" s="584">
        <f>ROUND(10.92*2.5*0,0)</f>
        <v>0</v>
      </c>
      <c r="DQ19" s="688">
        <v>0</v>
      </c>
      <c r="DR19" s="584">
        <f>ROUND(10.92*2.5*0,0)</f>
        <v>0</v>
      </c>
      <c r="DS19" s="688">
        <v>0</v>
      </c>
      <c r="DT19" s="584">
        <f>ROUND(10.92*2.5*0,0)</f>
        <v>0</v>
      </c>
      <c r="DU19" s="688">
        <v>0</v>
      </c>
      <c r="DV19" s="584">
        <f>ROUND(10.92*2.5*0,0)</f>
        <v>0</v>
      </c>
      <c r="DW19" s="688">
        <v>0</v>
      </c>
      <c r="DX19" s="584">
        <f>ROUND(10.92*2.5*0,0)</f>
        <v>0</v>
      </c>
      <c r="DY19" s="688">
        <v>0</v>
      </c>
      <c r="DZ19" s="584">
        <f>ROUND(10.92*2.5*0,0)</f>
        <v>0</v>
      </c>
      <c r="EA19" s="688">
        <v>0</v>
      </c>
      <c r="EB19" s="584">
        <f>ROUND(10.92*2.5*0,0)</f>
        <v>0</v>
      </c>
      <c r="EC19" s="688">
        <v>1.4</v>
      </c>
      <c r="ED19" s="584">
        <f>ROUND(10.92*2.5*1.4,0)</f>
        <v>38</v>
      </c>
      <c r="EE19" s="688">
        <v>2.1</v>
      </c>
      <c r="EF19" s="584">
        <f>ROUND(10.92*2.5*2.1,0)</f>
        <v>57</v>
      </c>
      <c r="EG19" s="688">
        <v>2.4</v>
      </c>
      <c r="EH19" s="584">
        <f>ROUND(10.92*2.5*2.4,0)</f>
        <v>66</v>
      </c>
      <c r="EI19" s="688">
        <v>2.8</v>
      </c>
      <c r="EJ19" s="584">
        <f>ROUND(10.92*2.5*2.8,0)</f>
        <v>76</v>
      </c>
      <c r="EK19" s="688">
        <v>2.9</v>
      </c>
      <c r="EL19" s="584">
        <f>ROUND(10.92*2.5*2.9,0)</f>
        <v>79</v>
      </c>
      <c r="EM19" s="688">
        <v>2.8</v>
      </c>
      <c r="EN19" s="584">
        <f>ROUND(10.92*2.5*2.8,0)</f>
        <v>76</v>
      </c>
      <c r="EO19" s="688">
        <v>2.6</v>
      </c>
      <c r="EP19" s="584">
        <f>ROUND(10.92*2.5*2.6,0)</f>
        <v>71</v>
      </c>
      <c r="EQ19" s="688">
        <v>2.2999999999999998</v>
      </c>
      <c r="ER19" s="584">
        <f>ROUND(10.92*2.5*2.3,0)</f>
        <v>63</v>
      </c>
      <c r="ES19" s="688">
        <v>1.8</v>
      </c>
      <c r="ET19" s="584">
        <f>ROUND(10.92*2.5*1.8,0)</f>
        <v>49</v>
      </c>
      <c r="EU19" s="688">
        <v>1.3</v>
      </c>
      <c r="EV19" s="584">
        <f>ROUND(10.92*2.5*1.3,0)</f>
        <v>35</v>
      </c>
      <c r="EW19" s="688">
        <v>0</v>
      </c>
      <c r="EX19" s="584">
        <f>ROUND(10.92*2.5*0,0)</f>
        <v>0</v>
      </c>
      <c r="EY19" s="688">
        <v>0</v>
      </c>
      <c r="EZ19" s="584">
        <f>ROUND(10.92*2.5*0,0)</f>
        <v>0</v>
      </c>
      <c r="FA19" s="688">
        <v>0</v>
      </c>
      <c r="FB19" s="584">
        <f>ROUND(10.92*2.5*0,0)</f>
        <v>0</v>
      </c>
      <c r="FC19" s="688">
        <v>0</v>
      </c>
      <c r="FD19" s="584">
        <f>ROUND(10.92*2.5*0,0)</f>
        <v>0</v>
      </c>
      <c r="FE19" s="688">
        <v>0</v>
      </c>
      <c r="FF19" s="584">
        <f>ROUND(10.92*2.5*0,0)</f>
        <v>0</v>
      </c>
      <c r="FG19" s="688">
        <v>0</v>
      </c>
      <c r="FH19" s="586">
        <f>ROUND(10.92*2.5*0,0)</f>
        <v>0</v>
      </c>
      <c r="FI19" s="560"/>
      <c r="FJ19" s="561"/>
      <c r="FK19" s="693" t="s">
        <v>247</v>
      </c>
      <c r="FL19" s="684"/>
      <c r="FM19" s="580">
        <v>10.92</v>
      </c>
      <c r="FN19" s="685">
        <v>2.5</v>
      </c>
      <c r="FO19" s="686"/>
      <c r="FP19" s="689">
        <v>9</v>
      </c>
      <c r="FQ19" s="690">
        <v>10</v>
      </c>
      <c r="FR19" s="584">
        <f>ROUND(10.92*2.5*10,0)</f>
        <v>273</v>
      </c>
      <c r="FS19" s="691">
        <v>9</v>
      </c>
      <c r="FT19" s="690">
        <v>10.199999999999999</v>
      </c>
      <c r="FU19" s="589">
        <f>ROUND(10.92*2.5*10.2,0)</f>
        <v>278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247</v>
      </c>
      <c r="C20" s="684"/>
      <c r="D20" s="580">
        <v>28.42</v>
      </c>
      <c r="E20" s="685">
        <v>2.5</v>
      </c>
      <c r="F20" s="686"/>
      <c r="G20" s="687">
        <v>0</v>
      </c>
      <c r="H20" s="584">
        <f>ROUND(28.42*2.5*0,0)</f>
        <v>0</v>
      </c>
      <c r="I20" s="688">
        <v>0</v>
      </c>
      <c r="J20" s="584">
        <f>ROUND(28.42*2.5*0,0)</f>
        <v>0</v>
      </c>
      <c r="K20" s="688">
        <v>0</v>
      </c>
      <c r="L20" s="584">
        <f>ROUND(28.42*2.5*0,0)</f>
        <v>0</v>
      </c>
      <c r="M20" s="688">
        <v>0</v>
      </c>
      <c r="N20" s="584">
        <f>ROUND(28.42*2.5*0,0)</f>
        <v>0</v>
      </c>
      <c r="O20" s="688">
        <v>0</v>
      </c>
      <c r="P20" s="584">
        <f>ROUND(28.42*2.5*0,0)</f>
        <v>0</v>
      </c>
      <c r="Q20" s="688">
        <v>0</v>
      </c>
      <c r="R20" s="584">
        <f>ROUND(28.42*2.5*0,0)</f>
        <v>0</v>
      </c>
      <c r="S20" s="688">
        <v>0</v>
      </c>
      <c r="T20" s="584">
        <f>ROUND(28.42*2.5*0,0)</f>
        <v>0</v>
      </c>
      <c r="U20" s="688">
        <v>0</v>
      </c>
      <c r="V20" s="584">
        <f>ROUND(28.42*2.5*0,0)</f>
        <v>0</v>
      </c>
      <c r="W20" s="688">
        <v>1.6</v>
      </c>
      <c r="X20" s="584">
        <f>ROUND(28.42*2.5*1.6,0)</f>
        <v>114</v>
      </c>
      <c r="Y20" s="688">
        <v>2</v>
      </c>
      <c r="Z20" s="584">
        <f>ROUND(28.42*2.5*2,0)</f>
        <v>142</v>
      </c>
      <c r="AA20" s="688">
        <v>2.2000000000000002</v>
      </c>
      <c r="AB20" s="584">
        <f>ROUND(28.42*2.5*2.2,0)</f>
        <v>156</v>
      </c>
      <c r="AC20" s="688">
        <v>2.2999999999999998</v>
      </c>
      <c r="AD20" s="584">
        <f>ROUND(28.42*2.5*2.3,0)</f>
        <v>163</v>
      </c>
      <c r="AE20" s="688">
        <v>2.4</v>
      </c>
      <c r="AF20" s="584">
        <f>ROUND(28.42*2.5*2.4,0)</f>
        <v>171</v>
      </c>
      <c r="AG20" s="688">
        <v>2.4</v>
      </c>
      <c r="AH20" s="584">
        <f>ROUND(28.42*2.5*2.4,0)</f>
        <v>171</v>
      </c>
      <c r="AI20" s="688">
        <v>2.2000000000000002</v>
      </c>
      <c r="AJ20" s="584">
        <f>ROUND(28.42*2.5*2.2,0)</f>
        <v>156</v>
      </c>
      <c r="AK20" s="688">
        <v>2.1</v>
      </c>
      <c r="AL20" s="584">
        <f>ROUND(28.42*2.5*2.1,0)</f>
        <v>149</v>
      </c>
      <c r="AM20" s="688">
        <v>1.8</v>
      </c>
      <c r="AN20" s="584">
        <f>ROUND(28.42*2.5*1.8,0)</f>
        <v>128</v>
      </c>
      <c r="AO20" s="688">
        <v>1.6</v>
      </c>
      <c r="AP20" s="584">
        <f>ROUND(28.42*2.5*1.6,0)</f>
        <v>114</v>
      </c>
      <c r="AQ20" s="688">
        <v>0</v>
      </c>
      <c r="AR20" s="584">
        <f>ROUND(28.42*2.5*0,0)</f>
        <v>0</v>
      </c>
      <c r="AS20" s="688">
        <v>0</v>
      </c>
      <c r="AT20" s="584">
        <f>ROUND(28.42*2.5*0,0)</f>
        <v>0</v>
      </c>
      <c r="AU20" s="688">
        <v>0</v>
      </c>
      <c r="AV20" s="584">
        <f>ROUND(28.42*2.5*0,0)</f>
        <v>0</v>
      </c>
      <c r="AW20" s="688">
        <v>0</v>
      </c>
      <c r="AX20" s="584">
        <f>ROUND(28.42*2.5*0,0)</f>
        <v>0</v>
      </c>
      <c r="AY20" s="688">
        <v>0</v>
      </c>
      <c r="AZ20" s="584">
        <f>ROUND(28.42*2.5*0,0)</f>
        <v>0</v>
      </c>
      <c r="BA20" s="688">
        <v>0</v>
      </c>
      <c r="BB20" s="586">
        <f>ROUND(28.42*2.5*0,0)</f>
        <v>0</v>
      </c>
      <c r="BC20" s="559"/>
      <c r="BD20" s="549"/>
      <c r="BE20" s="693" t="s">
        <v>247</v>
      </c>
      <c r="BF20" s="684"/>
      <c r="BG20" s="580">
        <v>28.42</v>
      </c>
      <c r="BH20" s="685">
        <v>2.5</v>
      </c>
      <c r="BI20" s="686"/>
      <c r="BJ20" s="687">
        <v>0</v>
      </c>
      <c r="BK20" s="584">
        <f>ROUND(28.42*2.5*0,0)</f>
        <v>0</v>
      </c>
      <c r="BL20" s="688">
        <v>0</v>
      </c>
      <c r="BM20" s="584">
        <f>ROUND(28.42*2.5*0,0)</f>
        <v>0</v>
      </c>
      <c r="BN20" s="688">
        <v>0</v>
      </c>
      <c r="BO20" s="584">
        <f>ROUND(28.42*2.5*0,0)</f>
        <v>0</v>
      </c>
      <c r="BP20" s="688">
        <v>0</v>
      </c>
      <c r="BQ20" s="584">
        <f>ROUND(28.42*2.5*0,0)</f>
        <v>0</v>
      </c>
      <c r="BR20" s="688">
        <v>0</v>
      </c>
      <c r="BS20" s="584">
        <f>ROUND(28.42*2.5*0,0)</f>
        <v>0</v>
      </c>
      <c r="BT20" s="688">
        <v>0</v>
      </c>
      <c r="BU20" s="584">
        <f>ROUND(28.42*2.5*0,0)</f>
        <v>0</v>
      </c>
      <c r="BV20" s="688">
        <v>0</v>
      </c>
      <c r="BW20" s="584">
        <f>ROUND(28.42*2.5*0,0)</f>
        <v>0</v>
      </c>
      <c r="BX20" s="688">
        <v>0</v>
      </c>
      <c r="BY20" s="584">
        <f>ROUND(28.42*2.5*0,0)</f>
        <v>0</v>
      </c>
      <c r="BZ20" s="688">
        <v>1.5</v>
      </c>
      <c r="CA20" s="584">
        <f>ROUND(28.42*2.5*1.5,0)</f>
        <v>107</v>
      </c>
      <c r="CB20" s="688">
        <v>1.8</v>
      </c>
      <c r="CC20" s="584">
        <f>ROUND(28.42*2.5*1.8,0)</f>
        <v>128</v>
      </c>
      <c r="CD20" s="688">
        <v>2.1</v>
      </c>
      <c r="CE20" s="584">
        <f>ROUND(28.42*2.5*2.1,0)</f>
        <v>149</v>
      </c>
      <c r="CF20" s="688">
        <v>2.2000000000000002</v>
      </c>
      <c r="CG20" s="584">
        <f>ROUND(28.42*2.5*2.2,0)</f>
        <v>156</v>
      </c>
      <c r="CH20" s="688">
        <v>2.2999999999999998</v>
      </c>
      <c r="CI20" s="584">
        <f>ROUND(28.42*2.5*2.3,0)</f>
        <v>163</v>
      </c>
      <c r="CJ20" s="688">
        <v>2.2000000000000002</v>
      </c>
      <c r="CK20" s="584">
        <f>ROUND(28.42*2.5*2.2,0)</f>
        <v>156</v>
      </c>
      <c r="CL20" s="688">
        <v>2.1</v>
      </c>
      <c r="CM20" s="584">
        <f>ROUND(28.42*2.5*2.1,0)</f>
        <v>149</v>
      </c>
      <c r="CN20" s="688">
        <v>2</v>
      </c>
      <c r="CO20" s="584">
        <f>ROUND(28.42*2.5*2,0)</f>
        <v>142</v>
      </c>
      <c r="CP20" s="688">
        <v>1.8</v>
      </c>
      <c r="CQ20" s="584">
        <f>ROUND(28.42*2.5*1.8,0)</f>
        <v>128</v>
      </c>
      <c r="CR20" s="688">
        <v>1.5</v>
      </c>
      <c r="CS20" s="584">
        <f>ROUND(28.42*2.5*1.5,0)</f>
        <v>107</v>
      </c>
      <c r="CT20" s="688">
        <v>0</v>
      </c>
      <c r="CU20" s="584">
        <f>ROUND(28.42*2.5*0,0)</f>
        <v>0</v>
      </c>
      <c r="CV20" s="688">
        <v>0</v>
      </c>
      <c r="CW20" s="584">
        <f>ROUND(28.42*2.5*0,0)</f>
        <v>0</v>
      </c>
      <c r="CX20" s="688">
        <v>0</v>
      </c>
      <c r="CY20" s="584">
        <f>ROUND(28.42*2.5*0,0)</f>
        <v>0</v>
      </c>
      <c r="CZ20" s="688">
        <v>0</v>
      </c>
      <c r="DA20" s="584">
        <f>ROUND(28.42*2.5*0,0)</f>
        <v>0</v>
      </c>
      <c r="DB20" s="688">
        <v>0</v>
      </c>
      <c r="DC20" s="584">
        <f>ROUND(28.42*2.5*0,0)</f>
        <v>0</v>
      </c>
      <c r="DD20" s="688">
        <v>0</v>
      </c>
      <c r="DE20" s="586">
        <f>ROUND(28.42*2.5*0,0)</f>
        <v>0</v>
      </c>
      <c r="DF20" s="559"/>
      <c r="DG20" s="549"/>
      <c r="DH20" s="693" t="s">
        <v>247</v>
      </c>
      <c r="DI20" s="684"/>
      <c r="DJ20" s="580">
        <v>28.42</v>
      </c>
      <c r="DK20" s="685">
        <v>2.5</v>
      </c>
      <c r="DL20" s="686"/>
      <c r="DM20" s="687">
        <v>0</v>
      </c>
      <c r="DN20" s="584">
        <f>ROUND(28.42*2.5*0,0)</f>
        <v>0</v>
      </c>
      <c r="DO20" s="688">
        <v>0</v>
      </c>
      <c r="DP20" s="584">
        <f>ROUND(28.42*2.5*0,0)</f>
        <v>0</v>
      </c>
      <c r="DQ20" s="688">
        <v>0</v>
      </c>
      <c r="DR20" s="584">
        <f>ROUND(28.42*2.5*0,0)</f>
        <v>0</v>
      </c>
      <c r="DS20" s="688">
        <v>0</v>
      </c>
      <c r="DT20" s="584">
        <f>ROUND(28.42*2.5*0,0)</f>
        <v>0</v>
      </c>
      <c r="DU20" s="688">
        <v>0</v>
      </c>
      <c r="DV20" s="584">
        <f>ROUND(28.42*2.5*0,0)</f>
        <v>0</v>
      </c>
      <c r="DW20" s="688">
        <v>0</v>
      </c>
      <c r="DX20" s="584">
        <f>ROUND(28.42*2.5*0,0)</f>
        <v>0</v>
      </c>
      <c r="DY20" s="688">
        <v>0</v>
      </c>
      <c r="DZ20" s="584">
        <f>ROUND(28.42*2.5*0,0)</f>
        <v>0</v>
      </c>
      <c r="EA20" s="688">
        <v>0</v>
      </c>
      <c r="EB20" s="584">
        <f>ROUND(28.42*2.5*0,0)</f>
        <v>0</v>
      </c>
      <c r="EC20" s="688">
        <v>0.8</v>
      </c>
      <c r="ED20" s="584">
        <f>ROUND(28.42*2.5*0.8,0)</f>
        <v>57</v>
      </c>
      <c r="EE20" s="688">
        <v>1.2</v>
      </c>
      <c r="EF20" s="584">
        <f>ROUND(28.42*2.5*1.2,0)</f>
        <v>85</v>
      </c>
      <c r="EG20" s="688">
        <v>1.5</v>
      </c>
      <c r="EH20" s="584">
        <f>ROUND(28.42*2.5*1.5,0)</f>
        <v>107</v>
      </c>
      <c r="EI20" s="688">
        <v>1.7</v>
      </c>
      <c r="EJ20" s="584">
        <f>ROUND(28.42*2.5*1.7,0)</f>
        <v>121</v>
      </c>
      <c r="EK20" s="688">
        <v>1.7</v>
      </c>
      <c r="EL20" s="584">
        <f>ROUND(28.42*2.5*1.7,0)</f>
        <v>121</v>
      </c>
      <c r="EM20" s="688">
        <v>1.6</v>
      </c>
      <c r="EN20" s="584">
        <f>ROUND(28.42*2.5*1.6,0)</f>
        <v>114</v>
      </c>
      <c r="EO20" s="688">
        <v>1.5</v>
      </c>
      <c r="EP20" s="584">
        <f>ROUND(28.42*2.5*1.5,0)</f>
        <v>107</v>
      </c>
      <c r="EQ20" s="688">
        <v>1.4</v>
      </c>
      <c r="ER20" s="584">
        <f>ROUND(28.42*2.5*1.4,0)</f>
        <v>99</v>
      </c>
      <c r="ES20" s="688">
        <v>1.1000000000000001</v>
      </c>
      <c r="ET20" s="584">
        <f>ROUND(28.42*2.5*1.1,0)</f>
        <v>78</v>
      </c>
      <c r="EU20" s="688">
        <v>0.8</v>
      </c>
      <c r="EV20" s="584">
        <f>ROUND(28.42*2.5*0.8,0)</f>
        <v>57</v>
      </c>
      <c r="EW20" s="688">
        <v>0</v>
      </c>
      <c r="EX20" s="584">
        <f>ROUND(28.42*2.5*0,0)</f>
        <v>0</v>
      </c>
      <c r="EY20" s="688">
        <v>0</v>
      </c>
      <c r="EZ20" s="584">
        <f>ROUND(28.42*2.5*0,0)</f>
        <v>0</v>
      </c>
      <c r="FA20" s="688">
        <v>0</v>
      </c>
      <c r="FB20" s="584">
        <f>ROUND(28.42*2.5*0,0)</f>
        <v>0</v>
      </c>
      <c r="FC20" s="688">
        <v>0</v>
      </c>
      <c r="FD20" s="584">
        <f>ROUND(28.42*2.5*0,0)</f>
        <v>0</v>
      </c>
      <c r="FE20" s="688">
        <v>0</v>
      </c>
      <c r="FF20" s="584">
        <f>ROUND(28.42*2.5*0,0)</f>
        <v>0</v>
      </c>
      <c r="FG20" s="688">
        <v>0</v>
      </c>
      <c r="FH20" s="586">
        <f>ROUND(28.42*2.5*0,0)</f>
        <v>0</v>
      </c>
      <c r="FI20" s="560"/>
      <c r="FJ20" s="561"/>
      <c r="FK20" s="693" t="s">
        <v>247</v>
      </c>
      <c r="FL20" s="684"/>
      <c r="FM20" s="580">
        <v>28.42</v>
      </c>
      <c r="FN20" s="685">
        <v>2.5</v>
      </c>
      <c r="FO20" s="686"/>
      <c r="FP20" s="689">
        <v>9</v>
      </c>
      <c r="FQ20" s="690">
        <v>6</v>
      </c>
      <c r="FR20" s="584">
        <f>ROUND(28.42*2.5*6,0)</f>
        <v>426</v>
      </c>
      <c r="FS20" s="691">
        <v>9</v>
      </c>
      <c r="FT20" s="690">
        <v>6.1</v>
      </c>
      <c r="FU20" s="589">
        <f>ROUND(28.42*2.5*6.1,0)</f>
        <v>433</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247</v>
      </c>
      <c r="C21" s="684"/>
      <c r="D21" s="580">
        <v>10.64</v>
      </c>
      <c r="E21" s="685">
        <v>2.5</v>
      </c>
      <c r="F21" s="686"/>
      <c r="G21" s="687">
        <v>0</v>
      </c>
      <c r="H21" s="584">
        <f>ROUND(10.64*2.5*0,0)</f>
        <v>0</v>
      </c>
      <c r="I21" s="688">
        <v>0</v>
      </c>
      <c r="J21" s="584">
        <f>ROUND(10.64*2.5*0,0)</f>
        <v>0</v>
      </c>
      <c r="K21" s="688">
        <v>0</v>
      </c>
      <c r="L21" s="584">
        <f>ROUND(10.64*2.5*0,0)</f>
        <v>0</v>
      </c>
      <c r="M21" s="688">
        <v>0</v>
      </c>
      <c r="N21" s="584">
        <f>ROUND(10.64*2.5*0,0)</f>
        <v>0</v>
      </c>
      <c r="O21" s="688">
        <v>0</v>
      </c>
      <c r="P21" s="584">
        <f>ROUND(10.64*2.5*0,0)</f>
        <v>0</v>
      </c>
      <c r="Q21" s="688">
        <v>0</v>
      </c>
      <c r="R21" s="584">
        <f>ROUND(10.64*2.5*0,0)</f>
        <v>0</v>
      </c>
      <c r="S21" s="688">
        <v>0</v>
      </c>
      <c r="T21" s="584">
        <f>ROUND(10.64*2.5*0,0)</f>
        <v>0</v>
      </c>
      <c r="U21" s="688">
        <v>0</v>
      </c>
      <c r="V21" s="584">
        <f>ROUND(10.64*2.5*0,0)</f>
        <v>0</v>
      </c>
      <c r="W21" s="688">
        <v>1.6</v>
      </c>
      <c r="X21" s="584">
        <f>ROUND(10.64*2.5*1.6,0)</f>
        <v>43</v>
      </c>
      <c r="Y21" s="688">
        <v>2</v>
      </c>
      <c r="Z21" s="584">
        <f>ROUND(10.64*2.5*2,0)</f>
        <v>53</v>
      </c>
      <c r="AA21" s="688">
        <v>2.2000000000000002</v>
      </c>
      <c r="AB21" s="584">
        <f>ROUND(10.64*2.5*2.2,0)</f>
        <v>59</v>
      </c>
      <c r="AC21" s="688">
        <v>2.2999999999999998</v>
      </c>
      <c r="AD21" s="584">
        <f>ROUND(10.64*2.5*2.3,0)</f>
        <v>61</v>
      </c>
      <c r="AE21" s="688">
        <v>2.4</v>
      </c>
      <c r="AF21" s="584">
        <f>ROUND(10.64*2.5*2.4,0)</f>
        <v>64</v>
      </c>
      <c r="AG21" s="688">
        <v>2.4</v>
      </c>
      <c r="AH21" s="584">
        <f>ROUND(10.64*2.5*2.4,0)</f>
        <v>64</v>
      </c>
      <c r="AI21" s="688">
        <v>2.2000000000000002</v>
      </c>
      <c r="AJ21" s="584">
        <f>ROUND(10.64*2.5*2.2,0)</f>
        <v>59</v>
      </c>
      <c r="AK21" s="688">
        <v>2.1</v>
      </c>
      <c r="AL21" s="584">
        <f>ROUND(10.64*2.5*2.1,0)</f>
        <v>56</v>
      </c>
      <c r="AM21" s="688">
        <v>1.8</v>
      </c>
      <c r="AN21" s="584">
        <f>ROUND(10.64*2.5*1.8,0)</f>
        <v>48</v>
      </c>
      <c r="AO21" s="688">
        <v>1.6</v>
      </c>
      <c r="AP21" s="584">
        <f>ROUND(10.64*2.5*1.6,0)</f>
        <v>43</v>
      </c>
      <c r="AQ21" s="688">
        <v>0</v>
      </c>
      <c r="AR21" s="584">
        <f>ROUND(10.64*2.5*0,0)</f>
        <v>0</v>
      </c>
      <c r="AS21" s="688">
        <v>0</v>
      </c>
      <c r="AT21" s="584">
        <f>ROUND(10.64*2.5*0,0)</f>
        <v>0</v>
      </c>
      <c r="AU21" s="688">
        <v>0</v>
      </c>
      <c r="AV21" s="584">
        <f>ROUND(10.64*2.5*0,0)</f>
        <v>0</v>
      </c>
      <c r="AW21" s="688">
        <v>0</v>
      </c>
      <c r="AX21" s="584">
        <f>ROUND(10.64*2.5*0,0)</f>
        <v>0</v>
      </c>
      <c r="AY21" s="688">
        <v>0</v>
      </c>
      <c r="AZ21" s="584">
        <f>ROUND(10.64*2.5*0,0)</f>
        <v>0</v>
      </c>
      <c r="BA21" s="688">
        <v>0</v>
      </c>
      <c r="BB21" s="586">
        <f>ROUND(10.64*2.5*0,0)</f>
        <v>0</v>
      </c>
      <c r="BC21" s="559"/>
      <c r="BD21" s="549"/>
      <c r="BE21" s="693" t="s">
        <v>247</v>
      </c>
      <c r="BF21" s="684"/>
      <c r="BG21" s="580">
        <v>10.64</v>
      </c>
      <c r="BH21" s="685">
        <v>2.5</v>
      </c>
      <c r="BI21" s="686"/>
      <c r="BJ21" s="687">
        <v>0</v>
      </c>
      <c r="BK21" s="584">
        <f>ROUND(10.64*2.5*0,0)</f>
        <v>0</v>
      </c>
      <c r="BL21" s="688">
        <v>0</v>
      </c>
      <c r="BM21" s="584">
        <f>ROUND(10.64*2.5*0,0)</f>
        <v>0</v>
      </c>
      <c r="BN21" s="688">
        <v>0</v>
      </c>
      <c r="BO21" s="584">
        <f>ROUND(10.64*2.5*0,0)</f>
        <v>0</v>
      </c>
      <c r="BP21" s="688">
        <v>0</v>
      </c>
      <c r="BQ21" s="584">
        <f>ROUND(10.64*2.5*0,0)</f>
        <v>0</v>
      </c>
      <c r="BR21" s="688">
        <v>0</v>
      </c>
      <c r="BS21" s="584">
        <f>ROUND(10.64*2.5*0,0)</f>
        <v>0</v>
      </c>
      <c r="BT21" s="688">
        <v>0</v>
      </c>
      <c r="BU21" s="584">
        <f>ROUND(10.64*2.5*0,0)</f>
        <v>0</v>
      </c>
      <c r="BV21" s="688">
        <v>0</v>
      </c>
      <c r="BW21" s="584">
        <f>ROUND(10.64*2.5*0,0)</f>
        <v>0</v>
      </c>
      <c r="BX21" s="688">
        <v>0</v>
      </c>
      <c r="BY21" s="584">
        <f>ROUND(10.64*2.5*0,0)</f>
        <v>0</v>
      </c>
      <c r="BZ21" s="688">
        <v>1.5</v>
      </c>
      <c r="CA21" s="584">
        <f>ROUND(10.64*2.5*1.5,0)</f>
        <v>40</v>
      </c>
      <c r="CB21" s="688">
        <v>1.8</v>
      </c>
      <c r="CC21" s="584">
        <f>ROUND(10.64*2.5*1.8,0)</f>
        <v>48</v>
      </c>
      <c r="CD21" s="688">
        <v>2.1</v>
      </c>
      <c r="CE21" s="584">
        <f>ROUND(10.64*2.5*2.1,0)</f>
        <v>56</v>
      </c>
      <c r="CF21" s="688">
        <v>2.2000000000000002</v>
      </c>
      <c r="CG21" s="584">
        <f>ROUND(10.64*2.5*2.2,0)</f>
        <v>59</v>
      </c>
      <c r="CH21" s="688">
        <v>2.2999999999999998</v>
      </c>
      <c r="CI21" s="584">
        <f>ROUND(10.64*2.5*2.3,0)</f>
        <v>61</v>
      </c>
      <c r="CJ21" s="688">
        <v>2.2000000000000002</v>
      </c>
      <c r="CK21" s="584">
        <f>ROUND(10.64*2.5*2.2,0)</f>
        <v>59</v>
      </c>
      <c r="CL21" s="688">
        <v>2.1</v>
      </c>
      <c r="CM21" s="584">
        <f>ROUND(10.64*2.5*2.1,0)</f>
        <v>56</v>
      </c>
      <c r="CN21" s="688">
        <v>2</v>
      </c>
      <c r="CO21" s="584">
        <f>ROUND(10.64*2.5*2,0)</f>
        <v>53</v>
      </c>
      <c r="CP21" s="688">
        <v>1.8</v>
      </c>
      <c r="CQ21" s="584">
        <f>ROUND(10.64*2.5*1.8,0)</f>
        <v>48</v>
      </c>
      <c r="CR21" s="688">
        <v>1.5</v>
      </c>
      <c r="CS21" s="584">
        <f>ROUND(10.64*2.5*1.5,0)</f>
        <v>40</v>
      </c>
      <c r="CT21" s="688">
        <v>0</v>
      </c>
      <c r="CU21" s="584">
        <f>ROUND(10.64*2.5*0,0)</f>
        <v>0</v>
      </c>
      <c r="CV21" s="688">
        <v>0</v>
      </c>
      <c r="CW21" s="584">
        <f>ROUND(10.64*2.5*0,0)</f>
        <v>0</v>
      </c>
      <c r="CX21" s="688">
        <v>0</v>
      </c>
      <c r="CY21" s="584">
        <f>ROUND(10.64*2.5*0,0)</f>
        <v>0</v>
      </c>
      <c r="CZ21" s="688">
        <v>0</v>
      </c>
      <c r="DA21" s="584">
        <f>ROUND(10.64*2.5*0,0)</f>
        <v>0</v>
      </c>
      <c r="DB21" s="688">
        <v>0</v>
      </c>
      <c r="DC21" s="584">
        <f>ROUND(10.64*2.5*0,0)</f>
        <v>0</v>
      </c>
      <c r="DD21" s="688">
        <v>0</v>
      </c>
      <c r="DE21" s="586">
        <f>ROUND(10.64*2.5*0,0)</f>
        <v>0</v>
      </c>
      <c r="DF21" s="559"/>
      <c r="DG21" s="549"/>
      <c r="DH21" s="693" t="s">
        <v>247</v>
      </c>
      <c r="DI21" s="684"/>
      <c r="DJ21" s="580">
        <v>10.64</v>
      </c>
      <c r="DK21" s="685">
        <v>2.5</v>
      </c>
      <c r="DL21" s="686"/>
      <c r="DM21" s="687">
        <v>0</v>
      </c>
      <c r="DN21" s="584">
        <f>ROUND(10.64*2.5*0,0)</f>
        <v>0</v>
      </c>
      <c r="DO21" s="688">
        <v>0</v>
      </c>
      <c r="DP21" s="584">
        <f>ROUND(10.64*2.5*0,0)</f>
        <v>0</v>
      </c>
      <c r="DQ21" s="688">
        <v>0</v>
      </c>
      <c r="DR21" s="584">
        <f>ROUND(10.64*2.5*0,0)</f>
        <v>0</v>
      </c>
      <c r="DS21" s="688">
        <v>0</v>
      </c>
      <c r="DT21" s="584">
        <f>ROUND(10.64*2.5*0,0)</f>
        <v>0</v>
      </c>
      <c r="DU21" s="688">
        <v>0</v>
      </c>
      <c r="DV21" s="584">
        <f>ROUND(10.64*2.5*0,0)</f>
        <v>0</v>
      </c>
      <c r="DW21" s="688">
        <v>0</v>
      </c>
      <c r="DX21" s="584">
        <f>ROUND(10.64*2.5*0,0)</f>
        <v>0</v>
      </c>
      <c r="DY21" s="688">
        <v>0</v>
      </c>
      <c r="DZ21" s="584">
        <f>ROUND(10.64*2.5*0,0)</f>
        <v>0</v>
      </c>
      <c r="EA21" s="688">
        <v>0</v>
      </c>
      <c r="EB21" s="584">
        <f>ROUND(10.64*2.5*0,0)</f>
        <v>0</v>
      </c>
      <c r="EC21" s="688">
        <v>0.8</v>
      </c>
      <c r="ED21" s="584">
        <f>ROUND(10.64*2.5*0.8,0)</f>
        <v>21</v>
      </c>
      <c r="EE21" s="688">
        <v>1.2</v>
      </c>
      <c r="EF21" s="584">
        <f>ROUND(10.64*2.5*1.2,0)</f>
        <v>32</v>
      </c>
      <c r="EG21" s="688">
        <v>1.5</v>
      </c>
      <c r="EH21" s="584">
        <f>ROUND(10.64*2.5*1.5,0)</f>
        <v>40</v>
      </c>
      <c r="EI21" s="688">
        <v>1.7</v>
      </c>
      <c r="EJ21" s="584">
        <f>ROUND(10.64*2.5*1.7,0)</f>
        <v>45</v>
      </c>
      <c r="EK21" s="688">
        <v>1.7</v>
      </c>
      <c r="EL21" s="584">
        <f>ROUND(10.64*2.5*1.7,0)</f>
        <v>45</v>
      </c>
      <c r="EM21" s="688">
        <v>1.6</v>
      </c>
      <c r="EN21" s="584">
        <f>ROUND(10.64*2.5*1.6,0)</f>
        <v>43</v>
      </c>
      <c r="EO21" s="688">
        <v>1.5</v>
      </c>
      <c r="EP21" s="584">
        <f>ROUND(10.64*2.5*1.5,0)</f>
        <v>40</v>
      </c>
      <c r="EQ21" s="688">
        <v>1.4</v>
      </c>
      <c r="ER21" s="584">
        <f>ROUND(10.64*2.5*1.4,0)</f>
        <v>37</v>
      </c>
      <c r="ES21" s="688">
        <v>1.1000000000000001</v>
      </c>
      <c r="ET21" s="584">
        <f>ROUND(10.64*2.5*1.1,0)</f>
        <v>29</v>
      </c>
      <c r="EU21" s="688">
        <v>0.8</v>
      </c>
      <c r="EV21" s="584">
        <f>ROUND(10.64*2.5*0.8,0)</f>
        <v>21</v>
      </c>
      <c r="EW21" s="688">
        <v>0</v>
      </c>
      <c r="EX21" s="584">
        <f>ROUND(10.64*2.5*0,0)</f>
        <v>0</v>
      </c>
      <c r="EY21" s="688">
        <v>0</v>
      </c>
      <c r="EZ21" s="584">
        <f>ROUND(10.64*2.5*0,0)</f>
        <v>0</v>
      </c>
      <c r="FA21" s="688">
        <v>0</v>
      </c>
      <c r="FB21" s="584">
        <f>ROUND(10.64*2.5*0,0)</f>
        <v>0</v>
      </c>
      <c r="FC21" s="688">
        <v>0</v>
      </c>
      <c r="FD21" s="584">
        <f>ROUND(10.64*2.5*0,0)</f>
        <v>0</v>
      </c>
      <c r="FE21" s="688">
        <v>0</v>
      </c>
      <c r="FF21" s="584">
        <f>ROUND(10.64*2.5*0,0)</f>
        <v>0</v>
      </c>
      <c r="FG21" s="688">
        <v>0</v>
      </c>
      <c r="FH21" s="586">
        <f>ROUND(10.64*2.5*0,0)</f>
        <v>0</v>
      </c>
      <c r="FI21" s="560"/>
      <c r="FJ21" s="561"/>
      <c r="FK21" s="693" t="s">
        <v>247</v>
      </c>
      <c r="FL21" s="684"/>
      <c r="FM21" s="580">
        <v>10.64</v>
      </c>
      <c r="FN21" s="685">
        <v>2.5</v>
      </c>
      <c r="FO21" s="686"/>
      <c r="FP21" s="689">
        <v>9</v>
      </c>
      <c r="FQ21" s="690">
        <v>6</v>
      </c>
      <c r="FR21" s="584">
        <f>ROUND(10.64*2.5*6,0)</f>
        <v>160</v>
      </c>
      <c r="FS21" s="691">
        <v>9</v>
      </c>
      <c r="FT21" s="690">
        <v>6.1</v>
      </c>
      <c r="FU21" s="589">
        <f>ROUND(10.64*2.5*6.1,0)</f>
        <v>162</v>
      </c>
      <c r="FV21" s="590"/>
      <c r="FW21" s="591"/>
      <c r="FX21" s="592"/>
      <c r="FY21" s="593"/>
      <c r="FZ21" s="594"/>
      <c r="GA21" s="595"/>
      <c r="GB21" s="596"/>
      <c r="GC21" s="597"/>
      <c r="GD21" s="596"/>
      <c r="GE21" s="598"/>
      <c r="GF21" s="681"/>
      <c r="GG21" s="599"/>
      <c r="GH21" s="599"/>
      <c r="GI21" s="599"/>
      <c r="GJ21" s="410"/>
      <c r="GK21" s="694" t="s">
        <v>455</v>
      </c>
      <c r="GL21" s="695"/>
      <c r="GM21" s="696"/>
      <c r="GN21" s="635">
        <v>5.4</v>
      </c>
      <c r="GO21" s="697"/>
      <c r="GP21" s="698"/>
      <c r="GQ21" s="630">
        <v>9.7200000000000006</v>
      </c>
      <c r="GR21" s="631">
        <v>5.4</v>
      </c>
      <c r="GS21" s="575"/>
      <c r="GT21" s="670"/>
      <c r="GU21" s="694" t="s">
        <v>455</v>
      </c>
      <c r="GV21" s="695"/>
      <c r="GW21" s="696"/>
      <c r="GX21" s="699">
        <v>5.4</v>
      </c>
      <c r="GY21" s="700"/>
      <c r="GZ21" s="697"/>
      <c r="HA21" s="701">
        <v>1.62</v>
      </c>
      <c r="HB21" s="702"/>
      <c r="HC21" s="703"/>
      <c r="HD21" s="559"/>
      <c r="HE21" s="612"/>
      <c r="HF21" s="612"/>
      <c r="HG21" s="416"/>
    </row>
    <row r="22" spans="1:218" ht="20.100000000000001" customHeight="1">
      <c r="A22" s="549"/>
      <c r="B22" s="693" t="s">
        <v>235</v>
      </c>
      <c r="C22" s="684"/>
      <c r="D22" s="580">
        <v>53.34</v>
      </c>
      <c r="E22" s="685">
        <v>0.5</v>
      </c>
      <c r="F22" s="686"/>
      <c r="G22" s="687">
        <v>0</v>
      </c>
      <c r="H22" s="584">
        <f>ROUND(53.34*0.5*0,0)</f>
        <v>0</v>
      </c>
      <c r="I22" s="688">
        <v>0</v>
      </c>
      <c r="J22" s="584">
        <f>ROUND(53.34*0.5*0,0)</f>
        <v>0</v>
      </c>
      <c r="K22" s="688">
        <v>0</v>
      </c>
      <c r="L22" s="584">
        <f>ROUND(53.34*0.5*0,0)</f>
        <v>0</v>
      </c>
      <c r="M22" s="688">
        <v>0</v>
      </c>
      <c r="N22" s="584">
        <f>ROUND(53.34*0.5*0,0)</f>
        <v>0</v>
      </c>
      <c r="O22" s="688">
        <v>0</v>
      </c>
      <c r="P22" s="584">
        <f>ROUND(53.34*0.5*0,0)</f>
        <v>0</v>
      </c>
      <c r="Q22" s="688">
        <v>0</v>
      </c>
      <c r="R22" s="584">
        <f>ROUND(53.34*0.5*0,0)</f>
        <v>0</v>
      </c>
      <c r="S22" s="688">
        <v>0</v>
      </c>
      <c r="T22" s="584">
        <f>ROUND(53.34*0.5*0,0)</f>
        <v>0</v>
      </c>
      <c r="U22" s="688">
        <v>0</v>
      </c>
      <c r="V22" s="584">
        <f>ROUND(53.34*0.5*0,0)</f>
        <v>0</v>
      </c>
      <c r="W22" s="688">
        <v>5.3</v>
      </c>
      <c r="X22" s="584">
        <f>ROUND(53.34*0.5*5.3,0)</f>
        <v>141</v>
      </c>
      <c r="Y22" s="688">
        <v>5.2</v>
      </c>
      <c r="Z22" s="584">
        <f>ROUND(53.34*0.5*5.2,0)</f>
        <v>139</v>
      </c>
      <c r="AA22" s="688">
        <v>5.2</v>
      </c>
      <c r="AB22" s="584">
        <f>ROUND(53.34*0.5*5.2,0)</f>
        <v>139</v>
      </c>
      <c r="AC22" s="688">
        <v>5.3</v>
      </c>
      <c r="AD22" s="584">
        <f>ROUND(53.34*0.5*5.3,0)</f>
        <v>141</v>
      </c>
      <c r="AE22" s="688">
        <v>5.7</v>
      </c>
      <c r="AF22" s="584">
        <f>ROUND(53.34*0.5*5.7,0)</f>
        <v>152</v>
      </c>
      <c r="AG22" s="688">
        <v>6.3</v>
      </c>
      <c r="AH22" s="584">
        <f>ROUND(53.34*0.5*6.3,0)</f>
        <v>168</v>
      </c>
      <c r="AI22" s="688">
        <v>7</v>
      </c>
      <c r="AJ22" s="584">
        <f>ROUND(53.34*0.5*7,0)</f>
        <v>187</v>
      </c>
      <c r="AK22" s="688">
        <v>7.8</v>
      </c>
      <c r="AL22" s="584">
        <f>ROUND(53.34*0.5*7.8,0)</f>
        <v>208</v>
      </c>
      <c r="AM22" s="688">
        <v>8.6</v>
      </c>
      <c r="AN22" s="584">
        <f>ROUND(53.34*0.5*8.6,0)</f>
        <v>229</v>
      </c>
      <c r="AO22" s="688">
        <v>9.4</v>
      </c>
      <c r="AP22" s="584">
        <f>ROUND(53.34*0.5*9.4,0)</f>
        <v>251</v>
      </c>
      <c r="AQ22" s="688">
        <v>0</v>
      </c>
      <c r="AR22" s="584">
        <f>ROUND(53.34*0.5*0,0)</f>
        <v>0</v>
      </c>
      <c r="AS22" s="688">
        <v>0</v>
      </c>
      <c r="AT22" s="584">
        <f>ROUND(53.34*0.5*0,0)</f>
        <v>0</v>
      </c>
      <c r="AU22" s="688">
        <v>0</v>
      </c>
      <c r="AV22" s="584">
        <f>ROUND(53.34*0.5*0,0)</f>
        <v>0</v>
      </c>
      <c r="AW22" s="688">
        <v>0</v>
      </c>
      <c r="AX22" s="584">
        <f>ROUND(53.34*0.5*0,0)</f>
        <v>0</v>
      </c>
      <c r="AY22" s="688">
        <v>0</v>
      </c>
      <c r="AZ22" s="584">
        <f>ROUND(53.34*0.5*0,0)</f>
        <v>0</v>
      </c>
      <c r="BA22" s="688">
        <v>0</v>
      </c>
      <c r="BB22" s="586">
        <f>ROUND(53.34*0.5*0,0)</f>
        <v>0</v>
      </c>
      <c r="BC22" s="559"/>
      <c r="BD22" s="549"/>
      <c r="BE22" s="693" t="s">
        <v>235</v>
      </c>
      <c r="BF22" s="684"/>
      <c r="BG22" s="580">
        <v>53.34</v>
      </c>
      <c r="BH22" s="685">
        <v>0.5</v>
      </c>
      <c r="BI22" s="686"/>
      <c r="BJ22" s="687">
        <v>0</v>
      </c>
      <c r="BK22" s="584">
        <f>ROUND(53.34*0.5*0,0)</f>
        <v>0</v>
      </c>
      <c r="BL22" s="688">
        <v>0</v>
      </c>
      <c r="BM22" s="584">
        <f>ROUND(53.34*0.5*0,0)</f>
        <v>0</v>
      </c>
      <c r="BN22" s="688">
        <v>0</v>
      </c>
      <c r="BO22" s="584">
        <f>ROUND(53.34*0.5*0,0)</f>
        <v>0</v>
      </c>
      <c r="BP22" s="688">
        <v>0</v>
      </c>
      <c r="BQ22" s="584">
        <f>ROUND(53.34*0.5*0,0)</f>
        <v>0</v>
      </c>
      <c r="BR22" s="688">
        <v>0</v>
      </c>
      <c r="BS22" s="584">
        <f>ROUND(53.34*0.5*0,0)</f>
        <v>0</v>
      </c>
      <c r="BT22" s="688">
        <v>0</v>
      </c>
      <c r="BU22" s="584">
        <f>ROUND(53.34*0.5*0,0)</f>
        <v>0</v>
      </c>
      <c r="BV22" s="688">
        <v>0</v>
      </c>
      <c r="BW22" s="584">
        <f>ROUND(53.34*0.5*0,0)</f>
        <v>0</v>
      </c>
      <c r="BX22" s="688">
        <v>0</v>
      </c>
      <c r="BY22" s="584">
        <f>ROUND(53.34*0.5*0,0)</f>
        <v>0</v>
      </c>
      <c r="BZ22" s="688">
        <v>5.2</v>
      </c>
      <c r="CA22" s="584">
        <f>ROUND(53.34*0.5*5.2,0)</f>
        <v>139</v>
      </c>
      <c r="CB22" s="688">
        <v>5</v>
      </c>
      <c r="CC22" s="584">
        <f>ROUND(53.34*0.5*5,0)</f>
        <v>133</v>
      </c>
      <c r="CD22" s="688">
        <v>5</v>
      </c>
      <c r="CE22" s="584">
        <f>ROUND(53.34*0.5*5,0)</f>
        <v>133</v>
      </c>
      <c r="CF22" s="688">
        <v>5.0999999999999996</v>
      </c>
      <c r="CG22" s="584">
        <f>ROUND(53.34*0.5*5.1,0)</f>
        <v>136</v>
      </c>
      <c r="CH22" s="688">
        <v>5.4</v>
      </c>
      <c r="CI22" s="584">
        <f>ROUND(53.34*0.5*5.4,0)</f>
        <v>144</v>
      </c>
      <c r="CJ22" s="688">
        <v>6</v>
      </c>
      <c r="CK22" s="584">
        <f>ROUND(53.34*0.5*6,0)</f>
        <v>160</v>
      </c>
      <c r="CL22" s="688">
        <v>6.8</v>
      </c>
      <c r="CM22" s="584">
        <f>ROUND(53.34*0.5*6.8,0)</f>
        <v>181</v>
      </c>
      <c r="CN22" s="688">
        <v>7.8</v>
      </c>
      <c r="CO22" s="584">
        <f>ROUND(53.34*0.5*7.8,0)</f>
        <v>208</v>
      </c>
      <c r="CP22" s="688">
        <v>8.6999999999999993</v>
      </c>
      <c r="CQ22" s="584">
        <f>ROUND(53.34*0.5*8.7,0)</f>
        <v>232</v>
      </c>
      <c r="CR22" s="688">
        <v>9.6</v>
      </c>
      <c r="CS22" s="584">
        <f>ROUND(53.34*0.5*9.6,0)</f>
        <v>256</v>
      </c>
      <c r="CT22" s="688">
        <v>0</v>
      </c>
      <c r="CU22" s="584">
        <f>ROUND(53.34*0.5*0,0)</f>
        <v>0</v>
      </c>
      <c r="CV22" s="688">
        <v>0</v>
      </c>
      <c r="CW22" s="584">
        <f>ROUND(53.34*0.5*0,0)</f>
        <v>0</v>
      </c>
      <c r="CX22" s="688">
        <v>0</v>
      </c>
      <c r="CY22" s="584">
        <f>ROUND(53.34*0.5*0,0)</f>
        <v>0</v>
      </c>
      <c r="CZ22" s="688">
        <v>0</v>
      </c>
      <c r="DA22" s="584">
        <f>ROUND(53.34*0.5*0,0)</f>
        <v>0</v>
      </c>
      <c r="DB22" s="688">
        <v>0</v>
      </c>
      <c r="DC22" s="584">
        <f>ROUND(53.34*0.5*0,0)</f>
        <v>0</v>
      </c>
      <c r="DD22" s="688">
        <v>0</v>
      </c>
      <c r="DE22" s="586">
        <f>ROUND(53.34*0.5*0,0)</f>
        <v>0</v>
      </c>
      <c r="DF22" s="559"/>
      <c r="DG22" s="549"/>
      <c r="DH22" s="693" t="s">
        <v>235</v>
      </c>
      <c r="DI22" s="684"/>
      <c r="DJ22" s="580">
        <v>53.34</v>
      </c>
      <c r="DK22" s="685">
        <v>0.5</v>
      </c>
      <c r="DL22" s="686"/>
      <c r="DM22" s="687">
        <v>0</v>
      </c>
      <c r="DN22" s="584">
        <f>ROUND(53.34*0.5*0,0)</f>
        <v>0</v>
      </c>
      <c r="DO22" s="688">
        <v>0</v>
      </c>
      <c r="DP22" s="584">
        <f>ROUND(53.34*0.5*0,0)</f>
        <v>0</v>
      </c>
      <c r="DQ22" s="688">
        <v>0</v>
      </c>
      <c r="DR22" s="584">
        <f>ROUND(53.34*0.5*0,0)</f>
        <v>0</v>
      </c>
      <c r="DS22" s="688">
        <v>0</v>
      </c>
      <c r="DT22" s="584">
        <f>ROUND(53.34*0.5*0,0)</f>
        <v>0</v>
      </c>
      <c r="DU22" s="688">
        <v>0</v>
      </c>
      <c r="DV22" s="584">
        <f>ROUND(53.34*0.5*0,0)</f>
        <v>0</v>
      </c>
      <c r="DW22" s="688">
        <v>0</v>
      </c>
      <c r="DX22" s="584">
        <f>ROUND(53.34*0.5*0,0)</f>
        <v>0</v>
      </c>
      <c r="DY22" s="688">
        <v>0</v>
      </c>
      <c r="DZ22" s="584">
        <f>ROUND(53.34*0.5*0,0)</f>
        <v>0</v>
      </c>
      <c r="EA22" s="688">
        <v>0</v>
      </c>
      <c r="EB22" s="584">
        <f>ROUND(53.34*0.5*0,0)</f>
        <v>0</v>
      </c>
      <c r="EC22" s="688">
        <v>3.8</v>
      </c>
      <c r="ED22" s="584">
        <f>ROUND(53.34*0.5*3.8,0)</f>
        <v>101</v>
      </c>
      <c r="EE22" s="688">
        <v>3.5</v>
      </c>
      <c r="EF22" s="584">
        <f>ROUND(53.34*0.5*3.5,0)</f>
        <v>93</v>
      </c>
      <c r="EG22" s="688">
        <v>3.4</v>
      </c>
      <c r="EH22" s="584">
        <f>ROUND(53.34*0.5*3.4,0)</f>
        <v>91</v>
      </c>
      <c r="EI22" s="688">
        <v>3.6</v>
      </c>
      <c r="EJ22" s="584">
        <f>ROUND(53.34*0.5*3.6,0)</f>
        <v>96</v>
      </c>
      <c r="EK22" s="688">
        <v>4.0999999999999996</v>
      </c>
      <c r="EL22" s="584">
        <f>ROUND(53.34*0.5*4.1,0)</f>
        <v>109</v>
      </c>
      <c r="EM22" s="688">
        <v>4.9000000000000004</v>
      </c>
      <c r="EN22" s="584">
        <f>ROUND(53.34*0.5*4.9,0)</f>
        <v>131</v>
      </c>
      <c r="EO22" s="688">
        <v>6</v>
      </c>
      <c r="EP22" s="584">
        <f>ROUND(53.34*0.5*6,0)</f>
        <v>160</v>
      </c>
      <c r="EQ22" s="688">
        <v>7.3</v>
      </c>
      <c r="ER22" s="584">
        <f>ROUND(53.34*0.5*7.3,0)</f>
        <v>195</v>
      </c>
      <c r="ES22" s="688">
        <v>8.5</v>
      </c>
      <c r="ET22" s="584">
        <f>ROUND(53.34*0.5*8.5,0)</f>
        <v>227</v>
      </c>
      <c r="EU22" s="688">
        <v>9.6</v>
      </c>
      <c r="EV22" s="584">
        <f>ROUND(53.34*0.5*9.6,0)</f>
        <v>256</v>
      </c>
      <c r="EW22" s="688">
        <v>0</v>
      </c>
      <c r="EX22" s="584">
        <f>ROUND(53.34*0.5*0,0)</f>
        <v>0</v>
      </c>
      <c r="EY22" s="688">
        <v>0</v>
      </c>
      <c r="EZ22" s="584">
        <f>ROUND(53.34*0.5*0,0)</f>
        <v>0</v>
      </c>
      <c r="FA22" s="688">
        <v>0</v>
      </c>
      <c r="FB22" s="584">
        <f>ROUND(53.34*0.5*0,0)</f>
        <v>0</v>
      </c>
      <c r="FC22" s="688">
        <v>0</v>
      </c>
      <c r="FD22" s="584">
        <f>ROUND(53.34*0.5*0,0)</f>
        <v>0</v>
      </c>
      <c r="FE22" s="688">
        <v>0</v>
      </c>
      <c r="FF22" s="584">
        <f>ROUND(53.34*0.5*0,0)</f>
        <v>0</v>
      </c>
      <c r="FG22" s="688">
        <v>0</v>
      </c>
      <c r="FH22" s="586">
        <f>ROUND(53.34*0.5*0,0)</f>
        <v>0</v>
      </c>
      <c r="FI22" s="560"/>
      <c r="FJ22" s="561"/>
      <c r="FK22" s="693" t="s">
        <v>235</v>
      </c>
      <c r="FL22" s="684"/>
      <c r="FM22" s="580">
        <v>53.34</v>
      </c>
      <c r="FN22" s="685">
        <v>0.5</v>
      </c>
      <c r="FO22" s="686"/>
      <c r="FP22" s="689">
        <v>9</v>
      </c>
      <c r="FQ22" s="690">
        <v>20</v>
      </c>
      <c r="FR22" s="584">
        <f>ROUND(53.34*0.5*20,0)</f>
        <v>533</v>
      </c>
      <c r="FS22" s="691">
        <v>9</v>
      </c>
      <c r="FT22" s="690">
        <v>20.5</v>
      </c>
      <c r="FU22" s="589">
        <f>ROUND(53.34*0.5*20.5,0)</f>
        <v>547</v>
      </c>
      <c r="FV22" s="590"/>
      <c r="FW22" s="591"/>
      <c r="FX22" s="592"/>
      <c r="FY22" s="593"/>
      <c r="FZ22" s="594"/>
      <c r="GA22" s="595"/>
      <c r="GB22" s="596"/>
      <c r="GC22" s="597"/>
      <c r="GD22" s="596"/>
      <c r="GE22" s="598"/>
      <c r="GF22" s="681"/>
      <c r="GG22" s="599"/>
      <c r="GH22" s="599"/>
      <c r="GI22" s="599"/>
      <c r="GJ22" s="527"/>
      <c r="GK22" s="704" t="s">
        <v>456</v>
      </c>
      <c r="GL22" s="705"/>
      <c r="GM22" s="705"/>
      <c r="GN22" s="706"/>
      <c r="GO22" s="630">
        <v>1.8</v>
      </c>
      <c r="GP22" s="630">
        <v>1</v>
      </c>
      <c r="GQ22" s="707"/>
      <c r="GR22" s="708"/>
      <c r="GS22" s="575"/>
      <c r="GT22" s="670"/>
      <c r="GU22" s="704" t="s">
        <v>456</v>
      </c>
      <c r="GV22" s="705"/>
      <c r="GW22" s="705"/>
      <c r="GX22" s="705"/>
      <c r="GY22" s="706"/>
      <c r="GZ22" s="630">
        <v>0.3</v>
      </c>
      <c r="HA22" s="709"/>
      <c r="HB22" s="710"/>
      <c r="HC22" s="414"/>
      <c r="HD22" s="559"/>
      <c r="HE22" s="416"/>
      <c r="HF22" s="416"/>
      <c r="HG22" s="416"/>
    </row>
    <row r="23" spans="1:218" ht="20.100000000000001" customHeight="1">
      <c r="A23" s="549"/>
      <c r="B23" s="693" t="s">
        <v>252</v>
      </c>
      <c r="C23" s="684"/>
      <c r="D23" s="580">
        <v>5.36</v>
      </c>
      <c r="E23" s="685">
        <v>2.2000000000000002</v>
      </c>
      <c r="F23" s="686"/>
      <c r="G23" s="687">
        <v>0</v>
      </c>
      <c r="H23" s="584">
        <f>ROUND(5.36*2.2*0,0)</f>
        <v>0</v>
      </c>
      <c r="I23" s="688">
        <v>0</v>
      </c>
      <c r="J23" s="584">
        <f>ROUND(5.36*2.2*0,0)</f>
        <v>0</v>
      </c>
      <c r="K23" s="688">
        <v>0</v>
      </c>
      <c r="L23" s="584">
        <f>ROUND(5.36*2.2*0,0)</f>
        <v>0</v>
      </c>
      <c r="M23" s="688">
        <v>0</v>
      </c>
      <c r="N23" s="584">
        <f>ROUND(5.36*2.2*0,0)</f>
        <v>0</v>
      </c>
      <c r="O23" s="688">
        <v>0</v>
      </c>
      <c r="P23" s="584">
        <f>ROUND(5.36*2.2*0,0)</f>
        <v>0</v>
      </c>
      <c r="Q23" s="688">
        <v>0</v>
      </c>
      <c r="R23" s="584">
        <f>ROUND(5.36*2.2*0,0)</f>
        <v>0</v>
      </c>
      <c r="S23" s="688">
        <v>0</v>
      </c>
      <c r="T23" s="584">
        <f>ROUND(5.36*2.2*0,0)</f>
        <v>0</v>
      </c>
      <c r="U23" s="688">
        <v>0</v>
      </c>
      <c r="V23" s="584">
        <f>ROUND(5.36*2.2*0,0)</f>
        <v>0</v>
      </c>
      <c r="W23" s="688">
        <v>5.3</v>
      </c>
      <c r="X23" s="584">
        <f>ROUND(5.36*2.2*5.3,0)</f>
        <v>62</v>
      </c>
      <c r="Y23" s="688">
        <v>6.5</v>
      </c>
      <c r="Z23" s="584">
        <f>ROUND(5.36*2.2*6.5,0)</f>
        <v>77</v>
      </c>
      <c r="AA23" s="688">
        <v>7.2</v>
      </c>
      <c r="AB23" s="584">
        <f>ROUND(5.36*2.2*7.2,0)</f>
        <v>85</v>
      </c>
      <c r="AC23" s="688">
        <v>7.7</v>
      </c>
      <c r="AD23" s="584">
        <f>ROUND(5.36*2.2*7.7,0)</f>
        <v>91</v>
      </c>
      <c r="AE23" s="688">
        <v>7.9</v>
      </c>
      <c r="AF23" s="584">
        <f>ROUND(5.36*2.2*7.9,0)</f>
        <v>93</v>
      </c>
      <c r="AG23" s="688">
        <v>7.9</v>
      </c>
      <c r="AH23" s="584">
        <f>ROUND(5.36*2.2*7.9,0)</f>
        <v>93</v>
      </c>
      <c r="AI23" s="688">
        <v>7.4</v>
      </c>
      <c r="AJ23" s="584">
        <f>ROUND(5.36*2.2*7.4,0)</f>
        <v>87</v>
      </c>
      <c r="AK23" s="688">
        <v>6.9</v>
      </c>
      <c r="AL23" s="584">
        <f>ROUND(5.36*2.2*6.9,0)</f>
        <v>81</v>
      </c>
      <c r="AM23" s="688">
        <v>6</v>
      </c>
      <c r="AN23" s="584">
        <f>ROUND(5.36*2.2*6,0)</f>
        <v>71</v>
      </c>
      <c r="AO23" s="688">
        <v>5.3</v>
      </c>
      <c r="AP23" s="584">
        <f>ROUND(5.36*2.2*5.3,0)</f>
        <v>62</v>
      </c>
      <c r="AQ23" s="688">
        <v>0</v>
      </c>
      <c r="AR23" s="584">
        <f>ROUND(5.36*2.2*0,0)</f>
        <v>0</v>
      </c>
      <c r="AS23" s="688">
        <v>0</v>
      </c>
      <c r="AT23" s="584">
        <f>ROUND(5.36*2.2*0,0)</f>
        <v>0</v>
      </c>
      <c r="AU23" s="688">
        <v>0</v>
      </c>
      <c r="AV23" s="584">
        <f>ROUND(5.36*2.2*0,0)</f>
        <v>0</v>
      </c>
      <c r="AW23" s="688">
        <v>0</v>
      </c>
      <c r="AX23" s="584">
        <f>ROUND(5.36*2.2*0,0)</f>
        <v>0</v>
      </c>
      <c r="AY23" s="688">
        <v>0</v>
      </c>
      <c r="AZ23" s="584">
        <f>ROUND(5.36*2.2*0,0)</f>
        <v>0</v>
      </c>
      <c r="BA23" s="688">
        <v>0</v>
      </c>
      <c r="BB23" s="586">
        <f>ROUND(5.36*2.2*0,0)</f>
        <v>0</v>
      </c>
      <c r="BC23" s="559"/>
      <c r="BD23" s="549"/>
      <c r="BE23" s="693" t="s">
        <v>252</v>
      </c>
      <c r="BF23" s="684"/>
      <c r="BG23" s="580">
        <v>5.36</v>
      </c>
      <c r="BH23" s="685">
        <v>2.2000000000000002</v>
      </c>
      <c r="BI23" s="686"/>
      <c r="BJ23" s="687">
        <v>0</v>
      </c>
      <c r="BK23" s="584">
        <f>ROUND(5.36*2.2*0,0)</f>
        <v>0</v>
      </c>
      <c r="BL23" s="688">
        <v>0</v>
      </c>
      <c r="BM23" s="584">
        <f>ROUND(5.36*2.2*0,0)</f>
        <v>0</v>
      </c>
      <c r="BN23" s="688">
        <v>0</v>
      </c>
      <c r="BO23" s="584">
        <f>ROUND(5.36*2.2*0,0)</f>
        <v>0</v>
      </c>
      <c r="BP23" s="688">
        <v>0</v>
      </c>
      <c r="BQ23" s="584">
        <f>ROUND(5.36*2.2*0,0)</f>
        <v>0</v>
      </c>
      <c r="BR23" s="688">
        <v>0</v>
      </c>
      <c r="BS23" s="584">
        <f>ROUND(5.36*2.2*0,0)</f>
        <v>0</v>
      </c>
      <c r="BT23" s="688">
        <v>0</v>
      </c>
      <c r="BU23" s="584">
        <f>ROUND(5.36*2.2*0,0)</f>
        <v>0</v>
      </c>
      <c r="BV23" s="688">
        <v>0</v>
      </c>
      <c r="BW23" s="584">
        <f>ROUND(5.36*2.2*0,0)</f>
        <v>0</v>
      </c>
      <c r="BX23" s="688">
        <v>0</v>
      </c>
      <c r="BY23" s="584">
        <f>ROUND(5.36*2.2*0,0)</f>
        <v>0</v>
      </c>
      <c r="BZ23" s="688">
        <v>5.0999999999999996</v>
      </c>
      <c r="CA23" s="584">
        <f>ROUND(5.36*2.2*5.1,0)</f>
        <v>60</v>
      </c>
      <c r="CB23" s="688">
        <v>6.1</v>
      </c>
      <c r="CC23" s="584">
        <f>ROUND(5.36*2.2*6.1,0)</f>
        <v>72</v>
      </c>
      <c r="CD23" s="688">
        <v>7</v>
      </c>
      <c r="CE23" s="584">
        <f>ROUND(5.36*2.2*7,0)</f>
        <v>83</v>
      </c>
      <c r="CF23" s="688">
        <v>7.4</v>
      </c>
      <c r="CG23" s="584">
        <f>ROUND(5.36*2.2*7.4,0)</f>
        <v>87</v>
      </c>
      <c r="CH23" s="688">
        <v>7.6</v>
      </c>
      <c r="CI23" s="584">
        <f>ROUND(5.36*2.2*7.6,0)</f>
        <v>90</v>
      </c>
      <c r="CJ23" s="688">
        <v>7.4</v>
      </c>
      <c r="CK23" s="584">
        <f>ROUND(5.36*2.2*7.4,0)</f>
        <v>87</v>
      </c>
      <c r="CL23" s="688">
        <v>6.9</v>
      </c>
      <c r="CM23" s="584">
        <f>ROUND(5.36*2.2*6.9,0)</f>
        <v>81</v>
      </c>
      <c r="CN23" s="688">
        <v>6.5</v>
      </c>
      <c r="CO23" s="584">
        <f>ROUND(5.36*2.2*6.5,0)</f>
        <v>77</v>
      </c>
      <c r="CP23" s="688">
        <v>6</v>
      </c>
      <c r="CQ23" s="584">
        <f>ROUND(5.36*2.2*6,0)</f>
        <v>71</v>
      </c>
      <c r="CR23" s="688">
        <v>5.0999999999999996</v>
      </c>
      <c r="CS23" s="584">
        <f>ROUND(5.36*2.2*5.1,0)</f>
        <v>60</v>
      </c>
      <c r="CT23" s="688">
        <v>0</v>
      </c>
      <c r="CU23" s="584">
        <f>ROUND(5.36*2.2*0,0)</f>
        <v>0</v>
      </c>
      <c r="CV23" s="688">
        <v>0</v>
      </c>
      <c r="CW23" s="584">
        <f>ROUND(5.36*2.2*0,0)</f>
        <v>0</v>
      </c>
      <c r="CX23" s="688">
        <v>0</v>
      </c>
      <c r="CY23" s="584">
        <f>ROUND(5.36*2.2*0,0)</f>
        <v>0</v>
      </c>
      <c r="CZ23" s="688">
        <v>0</v>
      </c>
      <c r="DA23" s="584">
        <f>ROUND(5.36*2.2*0,0)</f>
        <v>0</v>
      </c>
      <c r="DB23" s="688">
        <v>0</v>
      </c>
      <c r="DC23" s="584">
        <f>ROUND(5.36*2.2*0,0)</f>
        <v>0</v>
      </c>
      <c r="DD23" s="688">
        <v>0</v>
      </c>
      <c r="DE23" s="586">
        <f>ROUND(5.36*2.2*0,0)</f>
        <v>0</v>
      </c>
      <c r="DF23" s="559"/>
      <c r="DG23" s="549"/>
      <c r="DH23" s="693" t="s">
        <v>252</v>
      </c>
      <c r="DI23" s="684"/>
      <c r="DJ23" s="580">
        <v>5.36</v>
      </c>
      <c r="DK23" s="685">
        <v>2.2000000000000002</v>
      </c>
      <c r="DL23" s="686"/>
      <c r="DM23" s="687">
        <v>0</v>
      </c>
      <c r="DN23" s="584">
        <f>ROUND(5.36*2.2*0,0)</f>
        <v>0</v>
      </c>
      <c r="DO23" s="688">
        <v>0</v>
      </c>
      <c r="DP23" s="584">
        <f>ROUND(5.36*2.2*0,0)</f>
        <v>0</v>
      </c>
      <c r="DQ23" s="688">
        <v>0</v>
      </c>
      <c r="DR23" s="584">
        <f>ROUND(5.36*2.2*0,0)</f>
        <v>0</v>
      </c>
      <c r="DS23" s="688">
        <v>0</v>
      </c>
      <c r="DT23" s="584">
        <f>ROUND(5.36*2.2*0,0)</f>
        <v>0</v>
      </c>
      <c r="DU23" s="688">
        <v>0</v>
      </c>
      <c r="DV23" s="584">
        <f>ROUND(5.36*2.2*0,0)</f>
        <v>0</v>
      </c>
      <c r="DW23" s="688">
        <v>0</v>
      </c>
      <c r="DX23" s="584">
        <f>ROUND(5.36*2.2*0,0)</f>
        <v>0</v>
      </c>
      <c r="DY23" s="688">
        <v>0</v>
      </c>
      <c r="DZ23" s="584">
        <f>ROUND(5.36*2.2*0,0)</f>
        <v>0</v>
      </c>
      <c r="EA23" s="688">
        <v>0</v>
      </c>
      <c r="EB23" s="584">
        <f>ROUND(5.36*2.2*0,0)</f>
        <v>0</v>
      </c>
      <c r="EC23" s="688">
        <v>2.8</v>
      </c>
      <c r="ED23" s="584">
        <f>ROUND(5.36*2.2*2.8,0)</f>
        <v>33</v>
      </c>
      <c r="EE23" s="688">
        <v>4.0999999999999996</v>
      </c>
      <c r="EF23" s="584">
        <f>ROUND(5.36*2.2*4.1,0)</f>
        <v>48</v>
      </c>
      <c r="EG23" s="688">
        <v>4.9000000000000004</v>
      </c>
      <c r="EH23" s="584">
        <f>ROUND(5.36*2.2*4.9,0)</f>
        <v>58</v>
      </c>
      <c r="EI23" s="688">
        <v>5.6</v>
      </c>
      <c r="EJ23" s="584">
        <f>ROUND(5.36*2.2*5.6,0)</f>
        <v>66</v>
      </c>
      <c r="EK23" s="688">
        <v>5.8</v>
      </c>
      <c r="EL23" s="584">
        <f>ROUND(5.36*2.2*5.8,0)</f>
        <v>68</v>
      </c>
      <c r="EM23" s="688">
        <v>5.5</v>
      </c>
      <c r="EN23" s="584">
        <f>ROUND(5.36*2.2*5.5,0)</f>
        <v>65</v>
      </c>
      <c r="EO23" s="688">
        <v>5.0999999999999996</v>
      </c>
      <c r="EP23" s="584">
        <f>ROUND(5.36*2.2*5.1,0)</f>
        <v>60</v>
      </c>
      <c r="EQ23" s="688">
        <v>4.7</v>
      </c>
      <c r="ER23" s="584">
        <f>ROUND(5.36*2.2*4.7,0)</f>
        <v>55</v>
      </c>
      <c r="ES23" s="688">
        <v>3.7</v>
      </c>
      <c r="ET23" s="584">
        <f>ROUND(5.36*2.2*3.7,0)</f>
        <v>44</v>
      </c>
      <c r="EU23" s="688">
        <v>2.7</v>
      </c>
      <c r="EV23" s="584">
        <f>ROUND(5.36*2.2*2.7,0)</f>
        <v>32</v>
      </c>
      <c r="EW23" s="688">
        <v>0</v>
      </c>
      <c r="EX23" s="584">
        <f>ROUND(5.36*2.2*0,0)</f>
        <v>0</v>
      </c>
      <c r="EY23" s="688">
        <v>0</v>
      </c>
      <c r="EZ23" s="584">
        <f>ROUND(5.36*2.2*0,0)</f>
        <v>0</v>
      </c>
      <c r="FA23" s="688">
        <v>0</v>
      </c>
      <c r="FB23" s="584">
        <f>ROUND(5.36*2.2*0,0)</f>
        <v>0</v>
      </c>
      <c r="FC23" s="688">
        <v>0</v>
      </c>
      <c r="FD23" s="584">
        <f>ROUND(5.36*2.2*0,0)</f>
        <v>0</v>
      </c>
      <c r="FE23" s="688">
        <v>0</v>
      </c>
      <c r="FF23" s="584">
        <f>ROUND(5.36*2.2*0,0)</f>
        <v>0</v>
      </c>
      <c r="FG23" s="688">
        <v>0</v>
      </c>
      <c r="FH23" s="586">
        <f>ROUND(5.36*2.2*0,0)</f>
        <v>0</v>
      </c>
      <c r="FI23" s="560"/>
      <c r="FJ23" s="561"/>
      <c r="FK23" s="693" t="s">
        <v>252</v>
      </c>
      <c r="FL23" s="684"/>
      <c r="FM23" s="580">
        <v>5.36</v>
      </c>
      <c r="FN23" s="685">
        <v>2.2000000000000002</v>
      </c>
      <c r="FO23" s="686"/>
      <c r="FP23" s="689">
        <v>9</v>
      </c>
      <c r="FQ23" s="690">
        <v>20</v>
      </c>
      <c r="FR23" s="584">
        <f>ROUND(5.36*2.2*20,0)</f>
        <v>236</v>
      </c>
      <c r="FS23" s="691">
        <v>9</v>
      </c>
      <c r="FT23" s="690">
        <v>20.5</v>
      </c>
      <c r="FU23" s="589">
        <f>ROUND(5.36*2.2*20.5,0)</f>
        <v>242</v>
      </c>
      <c r="FV23" s="590"/>
      <c r="FW23" s="591"/>
      <c r="FX23" s="592"/>
      <c r="FY23" s="593"/>
      <c r="FZ23" s="594"/>
      <c r="GA23" s="595"/>
      <c r="GB23" s="596"/>
      <c r="GC23" s="597"/>
      <c r="GD23" s="596"/>
      <c r="GE23" s="598"/>
      <c r="GF23" s="681"/>
      <c r="GG23" s="599"/>
      <c r="GH23" s="599"/>
      <c r="GI23" s="599"/>
      <c r="GJ23" s="612"/>
      <c r="GK23" s="577" t="s">
        <v>457</v>
      </c>
      <c r="GL23" s="606"/>
      <c r="GM23" s="711"/>
      <c r="GN23" s="712">
        <v>53.3</v>
      </c>
      <c r="GO23" s="497" t="s">
        <v>458</v>
      </c>
      <c r="GP23" s="712"/>
      <c r="GQ23" s="606"/>
      <c r="GR23" s="612"/>
      <c r="GS23" s="575"/>
      <c r="GT23" s="670"/>
      <c r="GU23" s="606"/>
      <c r="GV23" s="527"/>
      <c r="GW23" s="606"/>
      <c r="GX23" s="606"/>
      <c r="GY23" s="713"/>
      <c r="GZ23" s="714"/>
      <c r="HA23" s="414"/>
      <c r="HB23" s="714" t="s">
        <v>459</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460</v>
      </c>
      <c r="GL24" s="606"/>
      <c r="GM24" s="711"/>
      <c r="GN24" s="712">
        <v>0.1</v>
      </c>
      <c r="GO24" s="712"/>
      <c r="GP24" s="712"/>
      <c r="GQ24" s="606"/>
      <c r="GR24" s="612"/>
      <c r="GS24" s="606"/>
      <c r="GT24" s="670"/>
      <c r="GU24" s="577" t="s">
        <v>461</v>
      </c>
      <c r="GV24" s="606"/>
      <c r="GW24" s="606"/>
      <c r="GX24" s="414"/>
      <c r="GY24" s="715">
        <v>614</v>
      </c>
      <c r="GZ24" s="577" t="s">
        <v>462</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463</v>
      </c>
      <c r="GV25" s="606"/>
      <c r="GW25" s="606"/>
      <c r="GX25" s="414"/>
      <c r="GY25" s="726">
        <v>1</v>
      </c>
      <c r="GZ25" s="577"/>
      <c r="HA25" s="527"/>
      <c r="HB25" s="527"/>
      <c r="HC25" s="527"/>
      <c r="HD25" s="559"/>
      <c r="HE25" s="559"/>
      <c r="HF25" s="416"/>
      <c r="HG25" s="416"/>
    </row>
    <row r="26" spans="1:218" ht="20.100000000000001" customHeight="1">
      <c r="A26" s="638"/>
      <c r="B26" s="639"/>
      <c r="C26" s="639"/>
      <c r="D26" s="639" t="s">
        <v>555</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844</v>
      </c>
      <c r="Y26" s="728"/>
      <c r="Z26" s="642">
        <f>SUM(Z16:Z25)</f>
        <v>997</v>
      </c>
      <c r="AA26" s="728"/>
      <c r="AB26" s="642">
        <f>SUM(AB16:AB25)</f>
        <v>1102</v>
      </c>
      <c r="AC26" s="728"/>
      <c r="AD26" s="642">
        <f>SUM(AD16:AD25)</f>
        <v>1167</v>
      </c>
      <c r="AE26" s="728"/>
      <c r="AF26" s="642">
        <f>SUM(AF16:AF25)</f>
        <v>1204</v>
      </c>
      <c r="AG26" s="728"/>
      <c r="AH26" s="642">
        <f>SUM(AH16:AH25)</f>
        <v>1225</v>
      </c>
      <c r="AI26" s="728"/>
      <c r="AJ26" s="642">
        <f>SUM(AJ16:AJ25)</f>
        <v>1196</v>
      </c>
      <c r="AK26" s="728"/>
      <c r="AL26" s="642">
        <f>SUM(AL16:AL25)</f>
        <v>1163</v>
      </c>
      <c r="AM26" s="728"/>
      <c r="AN26" s="642">
        <f>SUM(AN16:AN25)</f>
        <v>1086</v>
      </c>
      <c r="AO26" s="728"/>
      <c r="AP26" s="642">
        <f>SUM(AP16:AP25)</f>
        <v>1009</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317</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926</v>
      </c>
      <c r="CB26" s="728"/>
      <c r="CC26" s="642">
        <f>SUM(CC16:CC25)</f>
        <v>1050</v>
      </c>
      <c r="CD26" s="728"/>
      <c r="CE26" s="642">
        <f>SUM(CE16:CE25)</f>
        <v>1140</v>
      </c>
      <c r="CF26" s="728"/>
      <c r="CG26" s="642">
        <f>SUM(CG16:CG25)</f>
        <v>1174</v>
      </c>
      <c r="CH26" s="728"/>
      <c r="CI26" s="642">
        <f>SUM(CI16:CI25)</f>
        <v>1184</v>
      </c>
      <c r="CJ26" s="728"/>
      <c r="CK26" s="642">
        <f>SUM(CK16:CK25)</f>
        <v>1166</v>
      </c>
      <c r="CL26" s="728"/>
      <c r="CM26" s="642">
        <f>SUM(CM16:CM25)</f>
        <v>1135</v>
      </c>
      <c r="CN26" s="728"/>
      <c r="CO26" s="642">
        <f>SUM(CO16:CO25)</f>
        <v>1114</v>
      </c>
      <c r="CP26" s="728"/>
      <c r="CQ26" s="642">
        <f>SUM(CQ16:CQ25)</f>
        <v>1066</v>
      </c>
      <c r="CR26" s="728"/>
      <c r="CS26" s="642">
        <f>SUM(CS16:CS25)</f>
        <v>982</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585</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551</v>
      </c>
      <c r="EE26" s="728"/>
      <c r="EF26" s="642">
        <f>SUM(EF16:EF25)</f>
        <v>711</v>
      </c>
      <c r="EG26" s="728"/>
      <c r="EH26" s="642">
        <f>SUM(EH16:EH25)</f>
        <v>823</v>
      </c>
      <c r="EI26" s="728"/>
      <c r="EJ26" s="642">
        <f>SUM(EJ16:EJ25)</f>
        <v>899</v>
      </c>
      <c r="EK26" s="728"/>
      <c r="EL26" s="642">
        <f>SUM(EL16:EL25)</f>
        <v>917</v>
      </c>
      <c r="EM26" s="728"/>
      <c r="EN26" s="642">
        <f>SUM(EN16:EN25)</f>
        <v>906</v>
      </c>
      <c r="EO26" s="728"/>
      <c r="EP26" s="642">
        <f>SUM(EP16:EP25)</f>
        <v>888</v>
      </c>
      <c r="EQ26" s="728"/>
      <c r="ER26" s="642">
        <f>SUM(ER16:ER25)</f>
        <v>868</v>
      </c>
      <c r="ES26" s="728"/>
      <c r="ET26" s="642">
        <f>SUM(ET16:ET25)</f>
        <v>790</v>
      </c>
      <c r="EU26" s="728"/>
      <c r="EV26" s="642">
        <f>SUM(EV16:EV25)</f>
        <v>696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317</v>
      </c>
      <c r="FN26" s="639"/>
      <c r="FO26" s="639"/>
      <c r="FP26" s="647"/>
      <c r="FQ26" s="648"/>
      <c r="FR26" s="642">
        <f>SUM(FR16:FR25)</f>
        <v>2776</v>
      </c>
      <c r="FS26" s="729"/>
      <c r="FT26" s="648"/>
      <c r="FU26" s="650">
        <f>SUM(FU16:FU25)</f>
        <v>2838</v>
      </c>
      <c r="FV26" s="590"/>
      <c r="FW26" s="591"/>
      <c r="FX26" s="592"/>
      <c r="FY26" s="593"/>
      <c r="FZ26" s="594"/>
      <c r="GA26" s="595"/>
      <c r="GB26" s="596"/>
      <c r="GC26" s="597"/>
      <c r="GD26" s="596"/>
      <c r="GE26" s="598"/>
      <c r="GF26" s="651"/>
      <c r="GG26" s="652"/>
      <c r="GH26" s="652"/>
      <c r="GI26" s="652"/>
      <c r="GJ26" s="612"/>
      <c r="GK26" s="527" t="s">
        <v>464</v>
      </c>
      <c r="GL26" s="612"/>
      <c r="GM26" s="527"/>
      <c r="GN26" s="612"/>
      <c r="GO26" s="527"/>
      <c r="GP26" s="612"/>
      <c r="GQ26" s="612"/>
      <c r="GR26" s="612"/>
      <c r="GS26" s="576"/>
      <c r="GT26" s="670"/>
      <c r="GU26" s="577" t="s">
        <v>465</v>
      </c>
      <c r="GV26" s="606"/>
      <c r="GW26" s="606"/>
      <c r="GX26" s="414"/>
      <c r="GY26" s="726">
        <v>0.3</v>
      </c>
      <c r="GZ26" s="577"/>
      <c r="HA26" s="527"/>
      <c r="HB26" s="527"/>
      <c r="HC26" s="527"/>
      <c r="HD26" s="645"/>
      <c r="HE26" s="416"/>
      <c r="HF26" s="416"/>
      <c r="HG26" s="577"/>
      <c r="HH26" s="645"/>
      <c r="HI26" s="416"/>
      <c r="HJ26" s="416"/>
    </row>
    <row r="27" spans="1:218" ht="20.100000000000001" customHeight="1">
      <c r="A27" s="730" t="s">
        <v>391</v>
      </c>
      <c r="B27" s="731"/>
      <c r="C27" s="732"/>
      <c r="D27" s="660"/>
      <c r="E27" s="732"/>
      <c r="F27" s="732"/>
      <c r="G27" s="733" t="s">
        <v>392</v>
      </c>
      <c r="H27" s="660" t="s">
        <v>594</v>
      </c>
      <c r="I27" s="734" t="s">
        <v>392</v>
      </c>
      <c r="J27" s="660" t="s">
        <v>393</v>
      </c>
      <c r="K27" s="735" t="s">
        <v>392</v>
      </c>
      <c r="L27" s="660" t="s">
        <v>393</v>
      </c>
      <c r="M27" s="735" t="s">
        <v>392</v>
      </c>
      <c r="N27" s="660" t="s">
        <v>393</v>
      </c>
      <c r="O27" s="735" t="s">
        <v>392</v>
      </c>
      <c r="P27" s="660" t="s">
        <v>393</v>
      </c>
      <c r="Q27" s="735" t="s">
        <v>392</v>
      </c>
      <c r="R27" s="660" t="s">
        <v>393</v>
      </c>
      <c r="S27" s="735" t="s">
        <v>392</v>
      </c>
      <c r="T27" s="660" t="s">
        <v>393</v>
      </c>
      <c r="U27" s="735" t="s">
        <v>392</v>
      </c>
      <c r="V27" s="660" t="s">
        <v>393</v>
      </c>
      <c r="W27" s="735" t="s">
        <v>392</v>
      </c>
      <c r="X27" s="660" t="s">
        <v>393</v>
      </c>
      <c r="Y27" s="735" t="s">
        <v>392</v>
      </c>
      <c r="Z27" s="660" t="s">
        <v>393</v>
      </c>
      <c r="AA27" s="735" t="s">
        <v>392</v>
      </c>
      <c r="AB27" s="660" t="s">
        <v>393</v>
      </c>
      <c r="AC27" s="735" t="s">
        <v>392</v>
      </c>
      <c r="AD27" s="660" t="s">
        <v>393</v>
      </c>
      <c r="AE27" s="735" t="s">
        <v>392</v>
      </c>
      <c r="AF27" s="660" t="s">
        <v>393</v>
      </c>
      <c r="AG27" s="735" t="s">
        <v>392</v>
      </c>
      <c r="AH27" s="660" t="s">
        <v>393</v>
      </c>
      <c r="AI27" s="735" t="s">
        <v>392</v>
      </c>
      <c r="AJ27" s="660" t="s">
        <v>393</v>
      </c>
      <c r="AK27" s="735" t="s">
        <v>392</v>
      </c>
      <c r="AL27" s="660" t="s">
        <v>393</v>
      </c>
      <c r="AM27" s="735" t="s">
        <v>392</v>
      </c>
      <c r="AN27" s="660" t="s">
        <v>393</v>
      </c>
      <c r="AO27" s="735" t="s">
        <v>392</v>
      </c>
      <c r="AP27" s="660" t="s">
        <v>393</v>
      </c>
      <c r="AQ27" s="735" t="s">
        <v>392</v>
      </c>
      <c r="AR27" s="660" t="s">
        <v>393</v>
      </c>
      <c r="AS27" s="735" t="s">
        <v>392</v>
      </c>
      <c r="AT27" s="660" t="s">
        <v>393</v>
      </c>
      <c r="AU27" s="735" t="s">
        <v>392</v>
      </c>
      <c r="AV27" s="660" t="s">
        <v>393</v>
      </c>
      <c r="AW27" s="735" t="s">
        <v>392</v>
      </c>
      <c r="AX27" s="660" t="s">
        <v>393</v>
      </c>
      <c r="AY27" s="735" t="s">
        <v>392</v>
      </c>
      <c r="AZ27" s="660" t="s">
        <v>393</v>
      </c>
      <c r="BA27" s="735" t="s">
        <v>392</v>
      </c>
      <c r="BB27" s="662" t="s">
        <v>393</v>
      </c>
      <c r="BC27" s="716"/>
      <c r="BD27" s="730" t="s">
        <v>391</v>
      </c>
      <c r="BE27" s="731"/>
      <c r="BF27" s="732"/>
      <c r="BG27" s="660"/>
      <c r="BH27" s="732"/>
      <c r="BI27" s="732"/>
      <c r="BJ27" s="733" t="s">
        <v>392</v>
      </c>
      <c r="BK27" s="660" t="s">
        <v>393</v>
      </c>
      <c r="BL27" s="734" t="s">
        <v>392</v>
      </c>
      <c r="BM27" s="660" t="s">
        <v>393</v>
      </c>
      <c r="BN27" s="735" t="s">
        <v>392</v>
      </c>
      <c r="BO27" s="660" t="s">
        <v>393</v>
      </c>
      <c r="BP27" s="735" t="s">
        <v>392</v>
      </c>
      <c r="BQ27" s="660" t="s">
        <v>393</v>
      </c>
      <c r="BR27" s="735" t="s">
        <v>392</v>
      </c>
      <c r="BS27" s="660" t="s">
        <v>393</v>
      </c>
      <c r="BT27" s="735" t="s">
        <v>392</v>
      </c>
      <c r="BU27" s="660" t="s">
        <v>393</v>
      </c>
      <c r="BV27" s="735" t="s">
        <v>392</v>
      </c>
      <c r="BW27" s="660" t="s">
        <v>393</v>
      </c>
      <c r="BX27" s="735" t="s">
        <v>392</v>
      </c>
      <c r="BY27" s="660" t="s">
        <v>393</v>
      </c>
      <c r="BZ27" s="735" t="s">
        <v>392</v>
      </c>
      <c r="CA27" s="660" t="s">
        <v>393</v>
      </c>
      <c r="CB27" s="735" t="s">
        <v>392</v>
      </c>
      <c r="CC27" s="660" t="s">
        <v>393</v>
      </c>
      <c r="CD27" s="735" t="s">
        <v>392</v>
      </c>
      <c r="CE27" s="660" t="s">
        <v>393</v>
      </c>
      <c r="CF27" s="735" t="s">
        <v>392</v>
      </c>
      <c r="CG27" s="660" t="s">
        <v>393</v>
      </c>
      <c r="CH27" s="735" t="s">
        <v>392</v>
      </c>
      <c r="CI27" s="660" t="s">
        <v>393</v>
      </c>
      <c r="CJ27" s="735" t="s">
        <v>392</v>
      </c>
      <c r="CK27" s="660" t="s">
        <v>393</v>
      </c>
      <c r="CL27" s="735" t="s">
        <v>392</v>
      </c>
      <c r="CM27" s="660" t="s">
        <v>393</v>
      </c>
      <c r="CN27" s="735" t="s">
        <v>392</v>
      </c>
      <c r="CO27" s="660" t="s">
        <v>393</v>
      </c>
      <c r="CP27" s="735" t="s">
        <v>392</v>
      </c>
      <c r="CQ27" s="660" t="s">
        <v>393</v>
      </c>
      <c r="CR27" s="735" t="s">
        <v>392</v>
      </c>
      <c r="CS27" s="660" t="s">
        <v>393</v>
      </c>
      <c r="CT27" s="735" t="s">
        <v>392</v>
      </c>
      <c r="CU27" s="660" t="s">
        <v>393</v>
      </c>
      <c r="CV27" s="735" t="s">
        <v>392</v>
      </c>
      <c r="CW27" s="660" t="s">
        <v>393</v>
      </c>
      <c r="CX27" s="735" t="s">
        <v>392</v>
      </c>
      <c r="CY27" s="660" t="s">
        <v>393</v>
      </c>
      <c r="CZ27" s="735" t="s">
        <v>392</v>
      </c>
      <c r="DA27" s="660" t="s">
        <v>393</v>
      </c>
      <c r="DB27" s="735" t="s">
        <v>392</v>
      </c>
      <c r="DC27" s="660" t="s">
        <v>393</v>
      </c>
      <c r="DD27" s="735" t="s">
        <v>392</v>
      </c>
      <c r="DE27" s="662" t="s">
        <v>393</v>
      </c>
      <c r="DF27" s="716"/>
      <c r="DG27" s="730" t="s">
        <v>391</v>
      </c>
      <c r="DH27" s="736"/>
      <c r="DI27" s="737"/>
      <c r="DJ27" s="738"/>
      <c r="DK27" s="737"/>
      <c r="DL27" s="737"/>
      <c r="DM27" s="733" t="s">
        <v>392</v>
      </c>
      <c r="DN27" s="660" t="s">
        <v>393</v>
      </c>
      <c r="DO27" s="734" t="s">
        <v>392</v>
      </c>
      <c r="DP27" s="660" t="s">
        <v>393</v>
      </c>
      <c r="DQ27" s="735" t="s">
        <v>392</v>
      </c>
      <c r="DR27" s="660" t="s">
        <v>393</v>
      </c>
      <c r="DS27" s="735" t="s">
        <v>392</v>
      </c>
      <c r="DT27" s="660" t="s">
        <v>393</v>
      </c>
      <c r="DU27" s="735" t="s">
        <v>392</v>
      </c>
      <c r="DV27" s="660" t="s">
        <v>393</v>
      </c>
      <c r="DW27" s="735" t="s">
        <v>392</v>
      </c>
      <c r="DX27" s="660" t="s">
        <v>393</v>
      </c>
      <c r="DY27" s="735" t="s">
        <v>392</v>
      </c>
      <c r="DZ27" s="660" t="s">
        <v>393</v>
      </c>
      <c r="EA27" s="735" t="s">
        <v>392</v>
      </c>
      <c r="EB27" s="660" t="s">
        <v>393</v>
      </c>
      <c r="EC27" s="735" t="s">
        <v>392</v>
      </c>
      <c r="ED27" s="660" t="s">
        <v>393</v>
      </c>
      <c r="EE27" s="735" t="s">
        <v>392</v>
      </c>
      <c r="EF27" s="660" t="s">
        <v>393</v>
      </c>
      <c r="EG27" s="735" t="s">
        <v>392</v>
      </c>
      <c r="EH27" s="660" t="s">
        <v>393</v>
      </c>
      <c r="EI27" s="735" t="s">
        <v>392</v>
      </c>
      <c r="EJ27" s="660" t="s">
        <v>393</v>
      </c>
      <c r="EK27" s="735" t="s">
        <v>392</v>
      </c>
      <c r="EL27" s="660" t="s">
        <v>393</v>
      </c>
      <c r="EM27" s="735" t="s">
        <v>392</v>
      </c>
      <c r="EN27" s="660" t="s">
        <v>393</v>
      </c>
      <c r="EO27" s="735" t="s">
        <v>392</v>
      </c>
      <c r="EP27" s="660" t="s">
        <v>393</v>
      </c>
      <c r="EQ27" s="735" t="s">
        <v>392</v>
      </c>
      <c r="ER27" s="660" t="s">
        <v>393</v>
      </c>
      <c r="ES27" s="735" t="s">
        <v>392</v>
      </c>
      <c r="ET27" s="660" t="s">
        <v>393</v>
      </c>
      <c r="EU27" s="735" t="s">
        <v>392</v>
      </c>
      <c r="EV27" s="660" t="s">
        <v>393</v>
      </c>
      <c r="EW27" s="735" t="s">
        <v>392</v>
      </c>
      <c r="EX27" s="660" t="s">
        <v>393</v>
      </c>
      <c r="EY27" s="735" t="s">
        <v>392</v>
      </c>
      <c r="EZ27" s="660" t="s">
        <v>393</v>
      </c>
      <c r="FA27" s="735" t="s">
        <v>392</v>
      </c>
      <c r="FB27" s="660" t="s">
        <v>393</v>
      </c>
      <c r="FC27" s="735" t="s">
        <v>392</v>
      </c>
      <c r="FD27" s="660" t="s">
        <v>393</v>
      </c>
      <c r="FE27" s="735" t="s">
        <v>392</v>
      </c>
      <c r="FF27" s="660" t="s">
        <v>393</v>
      </c>
      <c r="FG27" s="735" t="s">
        <v>392</v>
      </c>
      <c r="FH27" s="662" t="s">
        <v>393</v>
      </c>
      <c r="FI27" s="739"/>
      <c r="FJ27" s="539" t="s">
        <v>391</v>
      </c>
      <c r="FK27" s="736"/>
      <c r="FL27" s="737"/>
      <c r="FM27" s="738"/>
      <c r="FN27" s="737"/>
      <c r="FO27" s="737"/>
      <c r="FP27" s="740" t="s">
        <v>394</v>
      </c>
      <c r="FQ27" s="666" t="s">
        <v>392</v>
      </c>
      <c r="FR27" s="660" t="s">
        <v>395</v>
      </c>
      <c r="FS27" s="741" t="s">
        <v>394</v>
      </c>
      <c r="FT27" s="666" t="s">
        <v>392</v>
      </c>
      <c r="FU27" s="668" t="s">
        <v>395</v>
      </c>
      <c r="FV27" s="590"/>
      <c r="FW27" s="591"/>
      <c r="FX27" s="592"/>
      <c r="FY27" s="593"/>
      <c r="FZ27" s="594"/>
      <c r="GA27" s="595"/>
      <c r="GB27" s="596"/>
      <c r="GC27" s="597"/>
      <c r="GD27" s="596"/>
      <c r="GE27" s="598"/>
      <c r="GF27" s="742"/>
      <c r="GG27" s="743"/>
      <c r="GH27" s="743"/>
      <c r="GI27" s="743"/>
      <c r="GJ27" s="612"/>
      <c r="GK27" s="527" t="s">
        <v>466</v>
      </c>
      <c r="GL27" s="612"/>
      <c r="GM27" s="612"/>
      <c r="GN27" s="612"/>
      <c r="GO27" s="414"/>
      <c r="GP27" s="744">
        <v>27.3</v>
      </c>
      <c r="GQ27" s="414" t="s">
        <v>467</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396</v>
      </c>
      <c r="C28" s="746"/>
      <c r="D28" s="747">
        <v>71</v>
      </c>
      <c r="E28" s="748">
        <v>2</v>
      </c>
      <c r="F28" s="749" t="s">
        <v>397</v>
      </c>
      <c r="G28" s="750"/>
      <c r="H28" s="556"/>
      <c r="I28" s="751"/>
      <c r="J28" s="556"/>
      <c r="K28" s="751"/>
      <c r="L28" s="556"/>
      <c r="M28" s="751"/>
      <c r="N28" s="556"/>
      <c r="O28" s="751"/>
      <c r="P28" s="556"/>
      <c r="Q28" s="751"/>
      <c r="R28" s="556"/>
      <c r="S28" s="751"/>
      <c r="T28" s="556"/>
      <c r="U28" s="751"/>
      <c r="V28" s="556"/>
      <c r="W28" s="751">
        <v>1</v>
      </c>
      <c r="X28" s="556">
        <v>142</v>
      </c>
      <c r="Y28" s="751">
        <v>1</v>
      </c>
      <c r="Z28" s="556">
        <v>142</v>
      </c>
      <c r="AA28" s="751">
        <v>1</v>
      </c>
      <c r="AB28" s="556">
        <v>142</v>
      </c>
      <c r="AC28" s="751">
        <v>1</v>
      </c>
      <c r="AD28" s="556">
        <v>142</v>
      </c>
      <c r="AE28" s="751">
        <v>1</v>
      </c>
      <c r="AF28" s="556">
        <v>142</v>
      </c>
      <c r="AG28" s="751">
        <v>1</v>
      </c>
      <c r="AH28" s="556">
        <v>142</v>
      </c>
      <c r="AI28" s="751">
        <v>1</v>
      </c>
      <c r="AJ28" s="556">
        <v>142</v>
      </c>
      <c r="AK28" s="751">
        <v>1</v>
      </c>
      <c r="AL28" s="556">
        <v>142</v>
      </c>
      <c r="AM28" s="751">
        <v>1</v>
      </c>
      <c r="AN28" s="556">
        <v>142</v>
      </c>
      <c r="AO28" s="751">
        <v>1</v>
      </c>
      <c r="AP28" s="556">
        <v>142</v>
      </c>
      <c r="AQ28" s="751"/>
      <c r="AR28" s="556"/>
      <c r="AS28" s="751"/>
      <c r="AT28" s="556"/>
      <c r="AU28" s="751"/>
      <c r="AV28" s="556"/>
      <c r="AW28" s="751"/>
      <c r="AX28" s="556"/>
      <c r="AY28" s="751"/>
      <c r="AZ28" s="556"/>
      <c r="BA28" s="751"/>
      <c r="BB28" s="677"/>
      <c r="BC28" s="559"/>
      <c r="BD28" s="549"/>
      <c r="BE28" s="745" t="s">
        <v>396</v>
      </c>
      <c r="BF28" s="746"/>
      <c r="BG28" s="747">
        <v>71</v>
      </c>
      <c r="BH28" s="748">
        <v>2</v>
      </c>
      <c r="BI28" s="749" t="s">
        <v>397</v>
      </c>
      <c r="BJ28" s="750"/>
      <c r="BK28" s="556"/>
      <c r="BL28" s="751"/>
      <c r="BM28" s="556"/>
      <c r="BN28" s="751"/>
      <c r="BO28" s="556"/>
      <c r="BP28" s="751"/>
      <c r="BQ28" s="556"/>
      <c r="BR28" s="751"/>
      <c r="BS28" s="556"/>
      <c r="BT28" s="751"/>
      <c r="BU28" s="556"/>
      <c r="BV28" s="751"/>
      <c r="BW28" s="556"/>
      <c r="BX28" s="751"/>
      <c r="BY28" s="556"/>
      <c r="BZ28" s="751">
        <v>1</v>
      </c>
      <c r="CA28" s="556">
        <v>142</v>
      </c>
      <c r="CB28" s="751">
        <v>1</v>
      </c>
      <c r="CC28" s="556">
        <v>142</v>
      </c>
      <c r="CD28" s="751">
        <v>1</v>
      </c>
      <c r="CE28" s="556">
        <v>142</v>
      </c>
      <c r="CF28" s="751">
        <v>1</v>
      </c>
      <c r="CG28" s="556">
        <v>142</v>
      </c>
      <c r="CH28" s="751">
        <v>1</v>
      </c>
      <c r="CI28" s="556">
        <v>142</v>
      </c>
      <c r="CJ28" s="751">
        <v>1</v>
      </c>
      <c r="CK28" s="556">
        <v>142</v>
      </c>
      <c r="CL28" s="751">
        <v>1</v>
      </c>
      <c r="CM28" s="556">
        <v>142</v>
      </c>
      <c r="CN28" s="751">
        <v>1</v>
      </c>
      <c r="CO28" s="556">
        <v>142</v>
      </c>
      <c r="CP28" s="751">
        <v>1</v>
      </c>
      <c r="CQ28" s="556">
        <v>142</v>
      </c>
      <c r="CR28" s="751">
        <v>1</v>
      </c>
      <c r="CS28" s="556">
        <v>142</v>
      </c>
      <c r="CT28" s="751"/>
      <c r="CU28" s="556"/>
      <c r="CV28" s="751"/>
      <c r="CW28" s="556"/>
      <c r="CX28" s="751"/>
      <c r="CY28" s="556"/>
      <c r="CZ28" s="751"/>
      <c r="DA28" s="556"/>
      <c r="DB28" s="751"/>
      <c r="DC28" s="556"/>
      <c r="DD28" s="751"/>
      <c r="DE28" s="677"/>
      <c r="DF28" s="559"/>
      <c r="DG28" s="549"/>
      <c r="DH28" s="745" t="s">
        <v>396</v>
      </c>
      <c r="DI28" s="746"/>
      <c r="DJ28" s="747">
        <v>71</v>
      </c>
      <c r="DK28" s="748">
        <v>2</v>
      </c>
      <c r="DL28" s="749" t="s">
        <v>397</v>
      </c>
      <c r="DM28" s="750"/>
      <c r="DN28" s="556"/>
      <c r="DO28" s="751"/>
      <c r="DP28" s="556"/>
      <c r="DQ28" s="751"/>
      <c r="DR28" s="556"/>
      <c r="DS28" s="751"/>
      <c r="DT28" s="556"/>
      <c r="DU28" s="751"/>
      <c r="DV28" s="556"/>
      <c r="DW28" s="751"/>
      <c r="DX28" s="556"/>
      <c r="DY28" s="751"/>
      <c r="DZ28" s="556"/>
      <c r="EA28" s="751"/>
      <c r="EB28" s="556"/>
      <c r="EC28" s="751">
        <v>1</v>
      </c>
      <c r="ED28" s="556">
        <v>142</v>
      </c>
      <c r="EE28" s="751">
        <v>1</v>
      </c>
      <c r="EF28" s="556">
        <v>142</v>
      </c>
      <c r="EG28" s="751">
        <v>1</v>
      </c>
      <c r="EH28" s="556">
        <v>142</v>
      </c>
      <c r="EI28" s="751">
        <v>1</v>
      </c>
      <c r="EJ28" s="556">
        <v>142</v>
      </c>
      <c r="EK28" s="751">
        <v>1</v>
      </c>
      <c r="EL28" s="556">
        <v>142</v>
      </c>
      <c r="EM28" s="751">
        <v>1</v>
      </c>
      <c r="EN28" s="556">
        <v>142</v>
      </c>
      <c r="EO28" s="751">
        <v>1</v>
      </c>
      <c r="EP28" s="556">
        <v>142</v>
      </c>
      <c r="EQ28" s="751">
        <v>1</v>
      </c>
      <c r="ER28" s="556">
        <v>142</v>
      </c>
      <c r="ES28" s="751">
        <v>1</v>
      </c>
      <c r="ET28" s="556">
        <v>142</v>
      </c>
      <c r="EU28" s="751">
        <v>1</v>
      </c>
      <c r="EV28" s="556">
        <v>142</v>
      </c>
      <c r="EW28" s="751"/>
      <c r="EX28" s="556"/>
      <c r="EY28" s="751"/>
      <c r="EZ28" s="556"/>
      <c r="FA28" s="751"/>
      <c r="FB28" s="556"/>
      <c r="FC28" s="751"/>
      <c r="FD28" s="556"/>
      <c r="FE28" s="751"/>
      <c r="FF28" s="556"/>
      <c r="FG28" s="751"/>
      <c r="FH28" s="677"/>
      <c r="FI28" s="560"/>
      <c r="FJ28" s="561"/>
      <c r="FK28" s="745" t="s">
        <v>396</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468</v>
      </c>
      <c r="GL28" s="414"/>
      <c r="GM28" s="414"/>
      <c r="GN28" s="414"/>
      <c r="GO28" s="527"/>
      <c r="GP28" s="744">
        <v>26</v>
      </c>
      <c r="GQ28" s="414" t="s">
        <v>467</v>
      </c>
      <c r="GR28" s="726"/>
      <c r="GS28" s="527"/>
      <c r="GT28" s="756"/>
      <c r="GU28" s="577" t="s">
        <v>469</v>
      </c>
      <c r="GV28" s="606"/>
      <c r="GW28" s="527"/>
      <c r="GX28" s="526"/>
      <c r="GY28" s="410"/>
      <c r="GZ28" s="612"/>
      <c r="HA28" s="527"/>
      <c r="HB28" s="527"/>
      <c r="HC28" s="527"/>
      <c r="HD28" s="527"/>
      <c r="HE28" s="416"/>
      <c r="HF28" s="416"/>
      <c r="HG28" s="416"/>
      <c r="HH28" s="416"/>
    </row>
    <row r="29" spans="1:218" ht="20.100000000000001" customHeight="1" thickBot="1">
      <c r="A29" s="549"/>
      <c r="B29" s="757" t="s">
        <v>398</v>
      </c>
      <c r="C29" s="758"/>
      <c r="D29" s="759">
        <v>15</v>
      </c>
      <c r="E29" s="760">
        <v>53.3</v>
      </c>
      <c r="F29" s="761" t="s">
        <v>397</v>
      </c>
      <c r="G29" s="762"/>
      <c r="H29" s="584"/>
      <c r="I29" s="763"/>
      <c r="J29" s="584"/>
      <c r="K29" s="763"/>
      <c r="L29" s="584"/>
      <c r="M29" s="763"/>
      <c r="N29" s="584"/>
      <c r="O29" s="763"/>
      <c r="P29" s="584"/>
      <c r="Q29" s="763"/>
      <c r="R29" s="584"/>
      <c r="S29" s="763"/>
      <c r="T29" s="584"/>
      <c r="U29" s="763"/>
      <c r="V29" s="584"/>
      <c r="W29" s="763">
        <v>1</v>
      </c>
      <c r="X29" s="584">
        <v>800</v>
      </c>
      <c r="Y29" s="763">
        <v>1</v>
      </c>
      <c r="Z29" s="584">
        <v>800</v>
      </c>
      <c r="AA29" s="763">
        <v>1</v>
      </c>
      <c r="AB29" s="584">
        <v>800</v>
      </c>
      <c r="AC29" s="763">
        <v>1</v>
      </c>
      <c r="AD29" s="584">
        <v>800</v>
      </c>
      <c r="AE29" s="763">
        <v>1</v>
      </c>
      <c r="AF29" s="584">
        <v>800</v>
      </c>
      <c r="AG29" s="763">
        <v>1</v>
      </c>
      <c r="AH29" s="584">
        <v>800</v>
      </c>
      <c r="AI29" s="763">
        <v>1</v>
      </c>
      <c r="AJ29" s="584">
        <v>800</v>
      </c>
      <c r="AK29" s="763">
        <v>1</v>
      </c>
      <c r="AL29" s="584">
        <v>800</v>
      </c>
      <c r="AM29" s="763">
        <v>1</v>
      </c>
      <c r="AN29" s="584">
        <v>800</v>
      </c>
      <c r="AO29" s="763">
        <v>1</v>
      </c>
      <c r="AP29" s="584">
        <v>800</v>
      </c>
      <c r="AQ29" s="763"/>
      <c r="AR29" s="584"/>
      <c r="AS29" s="763"/>
      <c r="AT29" s="584"/>
      <c r="AU29" s="763"/>
      <c r="AV29" s="584"/>
      <c r="AW29" s="763"/>
      <c r="AX29" s="584"/>
      <c r="AY29" s="763"/>
      <c r="AZ29" s="584"/>
      <c r="BA29" s="763"/>
      <c r="BB29" s="586"/>
      <c r="BC29" s="559"/>
      <c r="BD29" s="549"/>
      <c r="BE29" s="757" t="s">
        <v>398</v>
      </c>
      <c r="BF29" s="758"/>
      <c r="BG29" s="759">
        <v>15</v>
      </c>
      <c r="BH29" s="760">
        <v>53.3</v>
      </c>
      <c r="BI29" s="761" t="s">
        <v>397</v>
      </c>
      <c r="BJ29" s="762"/>
      <c r="BK29" s="584"/>
      <c r="BL29" s="763"/>
      <c r="BM29" s="584"/>
      <c r="BN29" s="763"/>
      <c r="BO29" s="584"/>
      <c r="BP29" s="763"/>
      <c r="BQ29" s="584"/>
      <c r="BR29" s="763"/>
      <c r="BS29" s="584"/>
      <c r="BT29" s="763"/>
      <c r="BU29" s="584"/>
      <c r="BV29" s="763"/>
      <c r="BW29" s="584"/>
      <c r="BX29" s="763"/>
      <c r="BY29" s="584"/>
      <c r="BZ29" s="763">
        <v>1</v>
      </c>
      <c r="CA29" s="584">
        <v>800</v>
      </c>
      <c r="CB29" s="763">
        <v>1</v>
      </c>
      <c r="CC29" s="584">
        <v>800</v>
      </c>
      <c r="CD29" s="763">
        <v>1</v>
      </c>
      <c r="CE29" s="584">
        <v>800</v>
      </c>
      <c r="CF29" s="763">
        <v>1</v>
      </c>
      <c r="CG29" s="584">
        <v>800</v>
      </c>
      <c r="CH29" s="763">
        <v>1</v>
      </c>
      <c r="CI29" s="584">
        <v>800</v>
      </c>
      <c r="CJ29" s="763">
        <v>1</v>
      </c>
      <c r="CK29" s="584">
        <v>800</v>
      </c>
      <c r="CL29" s="763">
        <v>1</v>
      </c>
      <c r="CM29" s="584">
        <v>800</v>
      </c>
      <c r="CN29" s="763">
        <v>1</v>
      </c>
      <c r="CO29" s="584">
        <v>800</v>
      </c>
      <c r="CP29" s="763">
        <v>1</v>
      </c>
      <c r="CQ29" s="584">
        <v>800</v>
      </c>
      <c r="CR29" s="763">
        <v>1</v>
      </c>
      <c r="CS29" s="584">
        <v>800</v>
      </c>
      <c r="CT29" s="763"/>
      <c r="CU29" s="584"/>
      <c r="CV29" s="763"/>
      <c r="CW29" s="584"/>
      <c r="CX29" s="763"/>
      <c r="CY29" s="584"/>
      <c r="CZ29" s="763"/>
      <c r="DA29" s="584"/>
      <c r="DB29" s="763"/>
      <c r="DC29" s="584"/>
      <c r="DD29" s="763"/>
      <c r="DE29" s="586"/>
      <c r="DF29" s="559"/>
      <c r="DG29" s="549"/>
      <c r="DH29" s="757" t="s">
        <v>398</v>
      </c>
      <c r="DI29" s="758"/>
      <c r="DJ29" s="759">
        <v>15</v>
      </c>
      <c r="DK29" s="760">
        <v>53.3</v>
      </c>
      <c r="DL29" s="761" t="s">
        <v>397</v>
      </c>
      <c r="DM29" s="762"/>
      <c r="DN29" s="584"/>
      <c r="DO29" s="763"/>
      <c r="DP29" s="584"/>
      <c r="DQ29" s="763"/>
      <c r="DR29" s="584"/>
      <c r="DS29" s="763"/>
      <c r="DT29" s="584"/>
      <c r="DU29" s="763"/>
      <c r="DV29" s="584"/>
      <c r="DW29" s="763"/>
      <c r="DX29" s="584"/>
      <c r="DY29" s="763"/>
      <c r="DZ29" s="584"/>
      <c r="EA29" s="763"/>
      <c r="EB29" s="584"/>
      <c r="EC29" s="763">
        <v>1</v>
      </c>
      <c r="ED29" s="584">
        <v>800</v>
      </c>
      <c r="EE29" s="763">
        <v>1</v>
      </c>
      <c r="EF29" s="584">
        <v>800</v>
      </c>
      <c r="EG29" s="763">
        <v>1</v>
      </c>
      <c r="EH29" s="584">
        <v>800</v>
      </c>
      <c r="EI29" s="763">
        <v>1</v>
      </c>
      <c r="EJ29" s="584">
        <v>800</v>
      </c>
      <c r="EK29" s="763">
        <v>1</v>
      </c>
      <c r="EL29" s="584">
        <v>800</v>
      </c>
      <c r="EM29" s="763">
        <v>1</v>
      </c>
      <c r="EN29" s="584">
        <v>800</v>
      </c>
      <c r="EO29" s="763">
        <v>1</v>
      </c>
      <c r="EP29" s="584">
        <v>800</v>
      </c>
      <c r="EQ29" s="763">
        <v>1</v>
      </c>
      <c r="ER29" s="584">
        <v>800</v>
      </c>
      <c r="ES29" s="763">
        <v>1</v>
      </c>
      <c r="ET29" s="584">
        <v>800</v>
      </c>
      <c r="EU29" s="763">
        <v>1</v>
      </c>
      <c r="EV29" s="584">
        <v>800</v>
      </c>
      <c r="EW29" s="763"/>
      <c r="EX29" s="584"/>
      <c r="EY29" s="763"/>
      <c r="EZ29" s="584"/>
      <c r="FA29" s="763"/>
      <c r="FB29" s="584"/>
      <c r="FC29" s="763"/>
      <c r="FD29" s="584"/>
      <c r="FE29" s="763"/>
      <c r="FF29" s="584"/>
      <c r="FG29" s="763"/>
      <c r="FH29" s="586"/>
      <c r="FI29" s="560"/>
      <c r="FJ29" s="561"/>
      <c r="FK29" s="757" t="s">
        <v>398</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470</v>
      </c>
      <c r="GL29" s="767"/>
      <c r="GM29" s="767"/>
      <c r="GN29" s="767"/>
      <c r="GO29" s="612"/>
      <c r="GP29" s="744">
        <v>1.3000000000000007</v>
      </c>
      <c r="GQ29" s="414" t="s">
        <v>467</v>
      </c>
      <c r="GR29" s="768"/>
      <c r="GS29" s="527"/>
      <c r="GT29" s="756"/>
      <c r="GU29" s="577" t="s">
        <v>471</v>
      </c>
      <c r="GV29" s="606"/>
      <c r="GW29" s="527"/>
      <c r="GX29" s="526"/>
      <c r="GY29" s="410"/>
      <c r="GZ29" s="527"/>
      <c r="HA29" s="577"/>
      <c r="HB29" s="577"/>
      <c r="HC29" s="576"/>
      <c r="HD29" s="527"/>
      <c r="HE29" s="416"/>
      <c r="HF29" s="416"/>
    </row>
    <row r="30" spans="1:218" ht="20.100000000000001" customHeight="1">
      <c r="A30" s="549"/>
      <c r="B30" s="757" t="s">
        <v>399</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399</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399</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399</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472</v>
      </c>
      <c r="GL30" s="767"/>
      <c r="GM30" s="767"/>
      <c r="GN30" s="767"/>
      <c r="GO30" s="527"/>
      <c r="GP30" s="771">
        <v>0</v>
      </c>
      <c r="GQ30" s="414"/>
      <c r="GR30" s="414"/>
      <c r="GS30" s="527"/>
      <c r="GT30" s="756"/>
      <c r="GU30" s="772" t="s">
        <v>366</v>
      </c>
      <c r="GV30" s="773"/>
      <c r="GW30" s="774" t="s">
        <v>473</v>
      </c>
      <c r="GX30" s="774"/>
      <c r="GY30" s="774"/>
      <c r="GZ30" s="774"/>
      <c r="HA30" s="775"/>
      <c r="HB30" s="776" t="s">
        <v>474</v>
      </c>
      <c r="HC30" s="576"/>
      <c r="HD30" s="559"/>
      <c r="HE30" s="416"/>
      <c r="HF30" s="416"/>
    </row>
    <row r="31" spans="1:218" ht="20.100000000000001" customHeight="1">
      <c r="A31" s="549"/>
      <c r="B31" s="777" t="s">
        <v>400</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400</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400</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400</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475</v>
      </c>
      <c r="GL31" s="414"/>
      <c r="GM31" s="577"/>
      <c r="GN31" s="414"/>
      <c r="GO31" s="577"/>
      <c r="GP31" s="771">
        <v>0</v>
      </c>
      <c r="GQ31" s="414"/>
      <c r="GR31" s="414"/>
      <c r="GS31" s="577"/>
      <c r="GT31" s="756"/>
      <c r="GU31" s="772"/>
      <c r="GV31" s="773"/>
      <c r="GW31" s="782" t="s">
        <v>476</v>
      </c>
      <c r="GX31" s="783" t="s">
        <v>477</v>
      </c>
      <c r="GY31" s="784" t="s">
        <v>478</v>
      </c>
      <c r="GZ31" s="785" t="s">
        <v>479</v>
      </c>
      <c r="HA31" s="785" t="s">
        <v>455</v>
      </c>
      <c r="HB31" s="786"/>
      <c r="HC31" s="576"/>
      <c r="HD31" s="559"/>
      <c r="HE31" s="416"/>
      <c r="HF31" s="416"/>
    </row>
    <row r="32" spans="1:218" ht="20.100000000000001" customHeight="1">
      <c r="A32" s="549"/>
      <c r="B32" s="787" t="s">
        <v>401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401</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401</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401</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402</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942</v>
      </c>
      <c r="Y33" s="643"/>
      <c r="Z33" s="642">
        <v>942</v>
      </c>
      <c r="AA33" s="643"/>
      <c r="AB33" s="642">
        <v>942</v>
      </c>
      <c r="AC33" s="643"/>
      <c r="AD33" s="642">
        <v>942</v>
      </c>
      <c r="AE33" s="643"/>
      <c r="AF33" s="642">
        <v>942</v>
      </c>
      <c r="AG33" s="643"/>
      <c r="AH33" s="642">
        <v>942</v>
      </c>
      <c r="AI33" s="643"/>
      <c r="AJ33" s="642">
        <v>942</v>
      </c>
      <c r="AK33" s="643"/>
      <c r="AL33" s="642">
        <v>942</v>
      </c>
      <c r="AM33" s="643"/>
      <c r="AN33" s="642">
        <v>942</v>
      </c>
      <c r="AO33" s="643"/>
      <c r="AP33" s="642">
        <v>942</v>
      </c>
      <c r="AQ33" s="643"/>
      <c r="AR33" s="642">
        <v>0</v>
      </c>
      <c r="AS33" s="643"/>
      <c r="AT33" s="642">
        <v>0</v>
      </c>
      <c r="AU33" s="643"/>
      <c r="AV33" s="642">
        <v>0</v>
      </c>
      <c r="AW33" s="643"/>
      <c r="AX33" s="642">
        <v>0</v>
      </c>
      <c r="AY33" s="643"/>
      <c r="AZ33" s="642">
        <v>0</v>
      </c>
      <c r="BA33" s="643"/>
      <c r="BB33" s="644">
        <v>0</v>
      </c>
      <c r="BC33" s="645"/>
      <c r="BD33" s="638"/>
      <c r="BE33" s="639"/>
      <c r="BF33" s="639"/>
      <c r="BG33" s="640" t="s">
        <v>402</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942</v>
      </c>
      <c r="CB33" s="643"/>
      <c r="CC33" s="642">
        <v>942</v>
      </c>
      <c r="CD33" s="643"/>
      <c r="CE33" s="642">
        <v>942</v>
      </c>
      <c r="CF33" s="643"/>
      <c r="CG33" s="642">
        <v>942</v>
      </c>
      <c r="CH33" s="643"/>
      <c r="CI33" s="642">
        <v>942</v>
      </c>
      <c r="CJ33" s="643"/>
      <c r="CK33" s="642">
        <v>942</v>
      </c>
      <c r="CL33" s="643"/>
      <c r="CM33" s="642">
        <v>942</v>
      </c>
      <c r="CN33" s="643"/>
      <c r="CO33" s="642">
        <v>942</v>
      </c>
      <c r="CP33" s="643"/>
      <c r="CQ33" s="642">
        <v>942</v>
      </c>
      <c r="CR33" s="643"/>
      <c r="CS33" s="642">
        <v>942</v>
      </c>
      <c r="CT33" s="643"/>
      <c r="CU33" s="642">
        <v>0</v>
      </c>
      <c r="CV33" s="643"/>
      <c r="CW33" s="642">
        <v>0</v>
      </c>
      <c r="CX33" s="643"/>
      <c r="CY33" s="642">
        <v>0</v>
      </c>
      <c r="CZ33" s="643"/>
      <c r="DA33" s="642">
        <v>0</v>
      </c>
      <c r="DB33" s="643"/>
      <c r="DC33" s="642">
        <v>0</v>
      </c>
      <c r="DD33" s="643"/>
      <c r="DE33" s="644">
        <v>0</v>
      </c>
      <c r="DF33" s="645"/>
      <c r="DG33" s="638"/>
      <c r="DH33" s="639"/>
      <c r="DI33" s="639"/>
      <c r="DJ33" s="640" t="s">
        <v>402</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942</v>
      </c>
      <c r="EE33" s="643"/>
      <c r="EF33" s="642">
        <v>942</v>
      </c>
      <c r="EG33" s="643"/>
      <c r="EH33" s="642">
        <v>942</v>
      </c>
      <c r="EI33" s="643"/>
      <c r="EJ33" s="642">
        <v>942</v>
      </c>
      <c r="EK33" s="643"/>
      <c r="EL33" s="642">
        <v>942</v>
      </c>
      <c r="EM33" s="643"/>
      <c r="EN33" s="642">
        <v>942</v>
      </c>
      <c r="EO33" s="643"/>
      <c r="EP33" s="642">
        <v>942</v>
      </c>
      <c r="EQ33" s="643"/>
      <c r="ER33" s="642">
        <v>942</v>
      </c>
      <c r="ES33" s="643"/>
      <c r="ET33" s="642">
        <v>942</v>
      </c>
      <c r="EU33" s="643"/>
      <c r="EV33" s="642">
        <v>942</v>
      </c>
      <c r="EW33" s="643"/>
      <c r="EX33" s="642">
        <v>0</v>
      </c>
      <c r="EY33" s="643"/>
      <c r="EZ33" s="642">
        <v>0</v>
      </c>
      <c r="FA33" s="643"/>
      <c r="FB33" s="642">
        <v>0</v>
      </c>
      <c r="FC33" s="643"/>
      <c r="FD33" s="642">
        <v>0</v>
      </c>
      <c r="FE33" s="643"/>
      <c r="FF33" s="642">
        <v>0</v>
      </c>
      <c r="FG33" s="643"/>
      <c r="FH33" s="644">
        <v>0</v>
      </c>
      <c r="FI33" s="646"/>
      <c r="FJ33" s="561"/>
      <c r="FK33" s="639"/>
      <c r="FL33" s="639"/>
      <c r="FM33" s="640" t="s">
        <v>402</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480</v>
      </c>
      <c r="GL33" s="576"/>
      <c r="GM33" s="527"/>
      <c r="GN33" s="576"/>
      <c r="GO33" s="527"/>
      <c r="GP33" s="527"/>
      <c r="GQ33" s="527"/>
      <c r="GR33" s="576"/>
      <c r="GS33" s="527"/>
      <c r="GT33" s="756"/>
      <c r="GU33" s="804">
        <v>208</v>
      </c>
      <c r="GV33" s="805"/>
      <c r="GW33" s="806">
        <v>22.68</v>
      </c>
      <c r="GX33" s="807">
        <v>61.36</v>
      </c>
      <c r="GY33" s="807">
        <v>54.74</v>
      </c>
      <c r="GZ33" s="807">
        <v>0</v>
      </c>
      <c r="HA33" s="807">
        <v>138.78</v>
      </c>
      <c r="HB33" s="808">
        <v>53.3</v>
      </c>
      <c r="HC33" s="414"/>
      <c r="HD33" s="645"/>
      <c r="HE33" s="416"/>
      <c r="HF33" s="416"/>
    </row>
    <row r="34" spans="1:219" ht="20.100000000000001" customHeight="1">
      <c r="A34" s="809" t="s">
        <v>403</v>
      </c>
      <c r="B34" s="736"/>
      <c r="C34" s="810"/>
      <c r="D34" s="811"/>
      <c r="E34" s="810"/>
      <c r="F34" s="812"/>
      <c r="G34" s="733" t="s">
        <v>404</v>
      </c>
      <c r="H34" s="660" t="s">
        <v>393</v>
      </c>
      <c r="I34" s="734" t="s">
        <v>404</v>
      </c>
      <c r="J34" s="660" t="s">
        <v>393</v>
      </c>
      <c r="K34" s="735" t="s">
        <v>404</v>
      </c>
      <c r="L34" s="660" t="s">
        <v>393</v>
      </c>
      <c r="M34" s="735" t="s">
        <v>404</v>
      </c>
      <c r="N34" s="660" t="s">
        <v>393</v>
      </c>
      <c r="O34" s="735" t="s">
        <v>404</v>
      </c>
      <c r="P34" s="660" t="s">
        <v>393</v>
      </c>
      <c r="Q34" s="735" t="s">
        <v>404</v>
      </c>
      <c r="R34" s="660" t="s">
        <v>393</v>
      </c>
      <c r="S34" s="735" t="s">
        <v>404</v>
      </c>
      <c r="T34" s="660" t="s">
        <v>393</v>
      </c>
      <c r="U34" s="735" t="s">
        <v>404</v>
      </c>
      <c r="V34" s="660" t="s">
        <v>393</v>
      </c>
      <c r="W34" s="735" t="s">
        <v>404</v>
      </c>
      <c r="X34" s="660" t="s">
        <v>393</v>
      </c>
      <c r="Y34" s="735" t="s">
        <v>404</v>
      </c>
      <c r="Z34" s="660" t="s">
        <v>393</v>
      </c>
      <c r="AA34" s="735" t="s">
        <v>404</v>
      </c>
      <c r="AB34" s="660" t="s">
        <v>393</v>
      </c>
      <c r="AC34" s="735" t="s">
        <v>404</v>
      </c>
      <c r="AD34" s="660" t="s">
        <v>393</v>
      </c>
      <c r="AE34" s="735" t="s">
        <v>404</v>
      </c>
      <c r="AF34" s="660" t="s">
        <v>393</v>
      </c>
      <c r="AG34" s="735" t="s">
        <v>404</v>
      </c>
      <c r="AH34" s="660" t="s">
        <v>393</v>
      </c>
      <c r="AI34" s="735" t="s">
        <v>404</v>
      </c>
      <c r="AJ34" s="660" t="s">
        <v>393</v>
      </c>
      <c r="AK34" s="735" t="s">
        <v>404</v>
      </c>
      <c r="AL34" s="660" t="s">
        <v>393</v>
      </c>
      <c r="AM34" s="735" t="s">
        <v>404</v>
      </c>
      <c r="AN34" s="660" t="s">
        <v>393</v>
      </c>
      <c r="AO34" s="735" t="s">
        <v>404</v>
      </c>
      <c r="AP34" s="660" t="s">
        <v>393</v>
      </c>
      <c r="AQ34" s="735" t="s">
        <v>404</v>
      </c>
      <c r="AR34" s="660" t="s">
        <v>393</v>
      </c>
      <c r="AS34" s="735" t="s">
        <v>404</v>
      </c>
      <c r="AT34" s="660" t="s">
        <v>393</v>
      </c>
      <c r="AU34" s="735" t="s">
        <v>404</v>
      </c>
      <c r="AV34" s="660" t="s">
        <v>393</v>
      </c>
      <c r="AW34" s="735" t="s">
        <v>404</v>
      </c>
      <c r="AX34" s="660" t="s">
        <v>393</v>
      </c>
      <c r="AY34" s="735" t="s">
        <v>404</v>
      </c>
      <c r="AZ34" s="660" t="s">
        <v>393</v>
      </c>
      <c r="BA34" s="735" t="s">
        <v>404</v>
      </c>
      <c r="BB34" s="662" t="s">
        <v>393</v>
      </c>
      <c r="BC34" s="716"/>
      <c r="BD34" s="809" t="s">
        <v>403</v>
      </c>
      <c r="BE34" s="731"/>
      <c r="BF34" s="813"/>
      <c r="BG34" s="814"/>
      <c r="BH34" s="813"/>
      <c r="BI34" s="815"/>
      <c r="BJ34" s="733" t="s">
        <v>404</v>
      </c>
      <c r="BK34" s="660" t="s">
        <v>393</v>
      </c>
      <c r="BL34" s="734" t="s">
        <v>404</v>
      </c>
      <c r="BM34" s="660" t="s">
        <v>393</v>
      </c>
      <c r="BN34" s="735" t="s">
        <v>404</v>
      </c>
      <c r="BO34" s="660" t="s">
        <v>393</v>
      </c>
      <c r="BP34" s="735" t="s">
        <v>404</v>
      </c>
      <c r="BQ34" s="660" t="s">
        <v>393</v>
      </c>
      <c r="BR34" s="735" t="s">
        <v>404</v>
      </c>
      <c r="BS34" s="660" t="s">
        <v>393</v>
      </c>
      <c r="BT34" s="735" t="s">
        <v>404</v>
      </c>
      <c r="BU34" s="660" t="s">
        <v>393</v>
      </c>
      <c r="BV34" s="735" t="s">
        <v>404</v>
      </c>
      <c r="BW34" s="660" t="s">
        <v>393</v>
      </c>
      <c r="BX34" s="735" t="s">
        <v>404</v>
      </c>
      <c r="BY34" s="660" t="s">
        <v>393</v>
      </c>
      <c r="BZ34" s="735" t="s">
        <v>404</v>
      </c>
      <c r="CA34" s="660" t="s">
        <v>393</v>
      </c>
      <c r="CB34" s="735" t="s">
        <v>404</v>
      </c>
      <c r="CC34" s="660" t="s">
        <v>393</v>
      </c>
      <c r="CD34" s="735" t="s">
        <v>404</v>
      </c>
      <c r="CE34" s="660" t="s">
        <v>393</v>
      </c>
      <c r="CF34" s="735" t="s">
        <v>404</v>
      </c>
      <c r="CG34" s="660" t="s">
        <v>393</v>
      </c>
      <c r="CH34" s="735" t="s">
        <v>404</v>
      </c>
      <c r="CI34" s="660" t="s">
        <v>393</v>
      </c>
      <c r="CJ34" s="735" t="s">
        <v>404</v>
      </c>
      <c r="CK34" s="660" t="s">
        <v>393</v>
      </c>
      <c r="CL34" s="735" t="s">
        <v>404</v>
      </c>
      <c r="CM34" s="660" t="s">
        <v>393</v>
      </c>
      <c r="CN34" s="735" t="s">
        <v>404</v>
      </c>
      <c r="CO34" s="660" t="s">
        <v>393</v>
      </c>
      <c r="CP34" s="735" t="s">
        <v>404</v>
      </c>
      <c r="CQ34" s="660" t="s">
        <v>393</v>
      </c>
      <c r="CR34" s="735" t="s">
        <v>404</v>
      </c>
      <c r="CS34" s="660" t="s">
        <v>393</v>
      </c>
      <c r="CT34" s="735" t="s">
        <v>404</v>
      </c>
      <c r="CU34" s="660" t="s">
        <v>393</v>
      </c>
      <c r="CV34" s="735" t="s">
        <v>404</v>
      </c>
      <c r="CW34" s="660" t="s">
        <v>393</v>
      </c>
      <c r="CX34" s="735" t="s">
        <v>404</v>
      </c>
      <c r="CY34" s="660" t="s">
        <v>393</v>
      </c>
      <c r="CZ34" s="735" t="s">
        <v>404</v>
      </c>
      <c r="DA34" s="660" t="s">
        <v>393</v>
      </c>
      <c r="DB34" s="735" t="s">
        <v>404</v>
      </c>
      <c r="DC34" s="660" t="s">
        <v>393</v>
      </c>
      <c r="DD34" s="735" t="s">
        <v>404</v>
      </c>
      <c r="DE34" s="662" t="s">
        <v>393</v>
      </c>
      <c r="DF34" s="716"/>
      <c r="DG34" s="809" t="s">
        <v>403</v>
      </c>
      <c r="DH34" s="731"/>
      <c r="DI34" s="813"/>
      <c r="DJ34" s="814"/>
      <c r="DK34" s="813"/>
      <c r="DL34" s="815"/>
      <c r="DM34" s="733" t="s">
        <v>404</v>
      </c>
      <c r="DN34" s="660" t="s">
        <v>393</v>
      </c>
      <c r="DO34" s="734" t="s">
        <v>404</v>
      </c>
      <c r="DP34" s="660" t="s">
        <v>393</v>
      </c>
      <c r="DQ34" s="735" t="s">
        <v>404</v>
      </c>
      <c r="DR34" s="660" t="s">
        <v>393</v>
      </c>
      <c r="DS34" s="735" t="s">
        <v>404</v>
      </c>
      <c r="DT34" s="660" t="s">
        <v>393</v>
      </c>
      <c r="DU34" s="735" t="s">
        <v>404</v>
      </c>
      <c r="DV34" s="660" t="s">
        <v>393</v>
      </c>
      <c r="DW34" s="735" t="s">
        <v>404</v>
      </c>
      <c r="DX34" s="660" t="s">
        <v>393</v>
      </c>
      <c r="DY34" s="735" t="s">
        <v>404</v>
      </c>
      <c r="DZ34" s="660" t="s">
        <v>393</v>
      </c>
      <c r="EA34" s="735" t="s">
        <v>404</v>
      </c>
      <c r="EB34" s="660" t="s">
        <v>393</v>
      </c>
      <c r="EC34" s="735" t="s">
        <v>404</v>
      </c>
      <c r="ED34" s="660" t="s">
        <v>393</v>
      </c>
      <c r="EE34" s="735" t="s">
        <v>404</v>
      </c>
      <c r="EF34" s="660" t="s">
        <v>393</v>
      </c>
      <c r="EG34" s="735" t="s">
        <v>404</v>
      </c>
      <c r="EH34" s="660" t="s">
        <v>393</v>
      </c>
      <c r="EI34" s="735" t="s">
        <v>404</v>
      </c>
      <c r="EJ34" s="660" t="s">
        <v>393</v>
      </c>
      <c r="EK34" s="735" t="s">
        <v>404</v>
      </c>
      <c r="EL34" s="660" t="s">
        <v>393</v>
      </c>
      <c r="EM34" s="735" t="s">
        <v>404</v>
      </c>
      <c r="EN34" s="660" t="s">
        <v>393</v>
      </c>
      <c r="EO34" s="735" t="s">
        <v>404</v>
      </c>
      <c r="EP34" s="660" t="s">
        <v>393</v>
      </c>
      <c r="EQ34" s="735" t="s">
        <v>404</v>
      </c>
      <c r="ER34" s="660" t="s">
        <v>393</v>
      </c>
      <c r="ES34" s="735" t="s">
        <v>404</v>
      </c>
      <c r="ET34" s="660" t="s">
        <v>393</v>
      </c>
      <c r="EU34" s="735" t="s">
        <v>404</v>
      </c>
      <c r="EV34" s="660" t="s">
        <v>393</v>
      </c>
      <c r="EW34" s="735" t="s">
        <v>404</v>
      </c>
      <c r="EX34" s="660" t="s">
        <v>393</v>
      </c>
      <c r="EY34" s="735" t="s">
        <v>404</v>
      </c>
      <c r="EZ34" s="660" t="s">
        <v>393</v>
      </c>
      <c r="FA34" s="735" t="s">
        <v>404</v>
      </c>
      <c r="FB34" s="660" t="s">
        <v>393</v>
      </c>
      <c r="FC34" s="735" t="s">
        <v>404</v>
      </c>
      <c r="FD34" s="660" t="s">
        <v>393</v>
      </c>
      <c r="FE34" s="735" t="s">
        <v>404</v>
      </c>
      <c r="FF34" s="660" t="s">
        <v>393</v>
      </c>
      <c r="FG34" s="735" t="s">
        <v>404</v>
      </c>
      <c r="FH34" s="662" t="s">
        <v>393</v>
      </c>
      <c r="FI34" s="739"/>
      <c r="FJ34" s="816" t="s">
        <v>403</v>
      </c>
      <c r="FK34" s="731"/>
      <c r="FL34" s="813"/>
      <c r="FM34" s="814"/>
      <c r="FN34" s="813"/>
      <c r="FO34" s="815"/>
      <c r="FP34" s="740" t="s">
        <v>394</v>
      </c>
      <c r="FQ34" s="666" t="s">
        <v>404</v>
      </c>
      <c r="FR34" s="660" t="s">
        <v>395</v>
      </c>
      <c r="FS34" s="741" t="s">
        <v>394</v>
      </c>
      <c r="FT34" s="666" t="s">
        <v>404</v>
      </c>
      <c r="FU34" s="668" t="s">
        <v>395</v>
      </c>
      <c r="FV34" s="590"/>
      <c r="FW34" s="591"/>
      <c r="FX34" s="799"/>
      <c r="FY34" s="593"/>
      <c r="FZ34" s="800"/>
      <c r="GA34" s="595"/>
      <c r="GB34" s="801"/>
      <c r="GC34" s="597"/>
      <c r="GD34" s="801"/>
      <c r="GE34" s="598"/>
      <c r="GF34" s="742"/>
      <c r="GG34" s="743"/>
      <c r="GH34" s="743"/>
      <c r="GI34" s="743"/>
      <c r="GJ34" s="576"/>
      <c r="GK34" s="817" t="s">
        <v>597</v>
      </c>
      <c r="GL34" s="817"/>
      <c r="GM34" s="817"/>
      <c r="GN34" s="817"/>
      <c r="GO34" s="817"/>
      <c r="GP34" s="817"/>
      <c r="GQ34" s="612">
        <v>10.6</v>
      </c>
      <c r="GR34" s="576" t="s">
        <v>462</v>
      </c>
      <c r="GS34" s="577"/>
      <c r="GT34" s="756"/>
      <c r="GU34" s="818"/>
      <c r="GV34" s="819"/>
      <c r="GW34" s="820"/>
      <c r="GX34" s="630"/>
      <c r="GY34" s="630"/>
      <c r="GZ34" s="630"/>
      <c r="HA34" s="630"/>
      <c r="HB34" s="631"/>
      <c r="HC34" s="527"/>
      <c r="HD34" s="716"/>
      <c r="HE34" s="416"/>
      <c r="HF34" s="416"/>
    </row>
    <row r="35" spans="1:219" ht="20.100000000000001" customHeight="1">
      <c r="A35" s="821"/>
      <c r="B35" s="463" t="s">
        <v>405</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321</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321</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321</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482</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406</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406</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406</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406</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598</v>
      </c>
      <c r="GL36" s="817"/>
      <c r="GM36" s="817"/>
      <c r="GN36" s="817"/>
      <c r="GO36" s="817"/>
      <c r="GP36" s="817"/>
      <c r="GQ36" s="612">
        <v>14.7</v>
      </c>
      <c r="GR36" s="576" t="s">
        <v>462</v>
      </c>
      <c r="GS36" s="527"/>
      <c r="GT36" s="756"/>
      <c r="GU36" s="818"/>
      <c r="GV36" s="819"/>
      <c r="GW36" s="820"/>
      <c r="GX36" s="630"/>
      <c r="GY36" s="630"/>
      <c r="GZ36" s="630"/>
      <c r="HA36" s="630"/>
      <c r="HB36" s="631"/>
      <c r="HC36" s="527"/>
      <c r="HD36" s="645"/>
      <c r="HE36" s="416"/>
      <c r="HF36" s="416"/>
    </row>
    <row r="37" spans="1:219" ht="24" customHeight="1">
      <c r="A37" s="842" t="s">
        <v>407</v>
      </c>
      <c r="B37" s="843"/>
      <c r="C37" s="844" t="s">
        <v>408</v>
      </c>
      <c r="D37" s="845"/>
      <c r="E37" s="846" t="s">
        <v>409</v>
      </c>
      <c r="F37" s="847"/>
      <c r="G37" s="659" t="s">
        <v>404</v>
      </c>
      <c r="H37" s="660" t="s">
        <v>410</v>
      </c>
      <c r="I37" s="661" t="s">
        <v>404</v>
      </c>
      <c r="J37" s="660" t="s">
        <v>411</v>
      </c>
      <c r="K37" s="661" t="s">
        <v>404</v>
      </c>
      <c r="L37" s="660" t="s">
        <v>411</v>
      </c>
      <c r="M37" s="661" t="s">
        <v>404</v>
      </c>
      <c r="N37" s="660" t="s">
        <v>411</v>
      </c>
      <c r="O37" s="661" t="s">
        <v>404</v>
      </c>
      <c r="P37" s="660" t="s">
        <v>411</v>
      </c>
      <c r="Q37" s="661" t="s">
        <v>404</v>
      </c>
      <c r="R37" s="660" t="s">
        <v>411</v>
      </c>
      <c r="S37" s="661" t="s">
        <v>404</v>
      </c>
      <c r="T37" s="660" t="s">
        <v>411</v>
      </c>
      <c r="U37" s="661" t="s">
        <v>404</v>
      </c>
      <c r="V37" s="660" t="s">
        <v>411</v>
      </c>
      <c r="W37" s="661" t="s">
        <v>404</v>
      </c>
      <c r="X37" s="660" t="s">
        <v>411</v>
      </c>
      <c r="Y37" s="661" t="s">
        <v>404</v>
      </c>
      <c r="Z37" s="660" t="s">
        <v>411</v>
      </c>
      <c r="AA37" s="661" t="s">
        <v>404</v>
      </c>
      <c r="AB37" s="660" t="s">
        <v>411</v>
      </c>
      <c r="AC37" s="661" t="s">
        <v>404</v>
      </c>
      <c r="AD37" s="660" t="s">
        <v>411</v>
      </c>
      <c r="AE37" s="661" t="s">
        <v>404</v>
      </c>
      <c r="AF37" s="660" t="s">
        <v>411</v>
      </c>
      <c r="AG37" s="661" t="s">
        <v>404</v>
      </c>
      <c r="AH37" s="660" t="s">
        <v>411</v>
      </c>
      <c r="AI37" s="661" t="s">
        <v>404</v>
      </c>
      <c r="AJ37" s="660" t="s">
        <v>411</v>
      </c>
      <c r="AK37" s="661" t="s">
        <v>404</v>
      </c>
      <c r="AL37" s="660" t="s">
        <v>411</v>
      </c>
      <c r="AM37" s="661" t="s">
        <v>404</v>
      </c>
      <c r="AN37" s="660" t="s">
        <v>411</v>
      </c>
      <c r="AO37" s="661" t="s">
        <v>404</v>
      </c>
      <c r="AP37" s="660" t="s">
        <v>411</v>
      </c>
      <c r="AQ37" s="661" t="s">
        <v>404</v>
      </c>
      <c r="AR37" s="660" t="s">
        <v>411</v>
      </c>
      <c r="AS37" s="661" t="s">
        <v>404</v>
      </c>
      <c r="AT37" s="660" t="s">
        <v>411</v>
      </c>
      <c r="AU37" s="661" t="s">
        <v>404</v>
      </c>
      <c r="AV37" s="660" t="s">
        <v>411</v>
      </c>
      <c r="AW37" s="661" t="s">
        <v>404</v>
      </c>
      <c r="AX37" s="660" t="s">
        <v>411</v>
      </c>
      <c r="AY37" s="661" t="s">
        <v>404</v>
      </c>
      <c r="AZ37" s="660" t="s">
        <v>411</v>
      </c>
      <c r="BA37" s="661" t="s">
        <v>404</v>
      </c>
      <c r="BB37" s="662" t="s">
        <v>411</v>
      </c>
      <c r="BC37" s="716"/>
      <c r="BD37" s="842" t="s">
        <v>407</v>
      </c>
      <c r="BE37" s="843"/>
      <c r="BF37" s="844" t="s">
        <v>408</v>
      </c>
      <c r="BG37" s="845"/>
      <c r="BH37" s="846" t="s">
        <v>409</v>
      </c>
      <c r="BI37" s="847"/>
      <c r="BJ37" s="659" t="s">
        <v>404</v>
      </c>
      <c r="BK37" s="660" t="s">
        <v>410</v>
      </c>
      <c r="BL37" s="661" t="s">
        <v>404</v>
      </c>
      <c r="BM37" s="660" t="s">
        <v>411</v>
      </c>
      <c r="BN37" s="661" t="s">
        <v>404</v>
      </c>
      <c r="BO37" s="660" t="s">
        <v>411</v>
      </c>
      <c r="BP37" s="661" t="s">
        <v>404</v>
      </c>
      <c r="BQ37" s="660" t="s">
        <v>411</v>
      </c>
      <c r="BR37" s="661" t="s">
        <v>404</v>
      </c>
      <c r="BS37" s="660" t="s">
        <v>411</v>
      </c>
      <c r="BT37" s="661" t="s">
        <v>404</v>
      </c>
      <c r="BU37" s="660" t="s">
        <v>411</v>
      </c>
      <c r="BV37" s="661" t="s">
        <v>404</v>
      </c>
      <c r="BW37" s="660" t="s">
        <v>411</v>
      </c>
      <c r="BX37" s="661" t="s">
        <v>404</v>
      </c>
      <c r="BY37" s="660" t="s">
        <v>411</v>
      </c>
      <c r="BZ37" s="661" t="s">
        <v>404</v>
      </c>
      <c r="CA37" s="660" t="s">
        <v>411</v>
      </c>
      <c r="CB37" s="661" t="s">
        <v>404</v>
      </c>
      <c r="CC37" s="660" t="s">
        <v>411</v>
      </c>
      <c r="CD37" s="661" t="s">
        <v>404</v>
      </c>
      <c r="CE37" s="660" t="s">
        <v>411</v>
      </c>
      <c r="CF37" s="661" t="s">
        <v>404</v>
      </c>
      <c r="CG37" s="660" t="s">
        <v>411</v>
      </c>
      <c r="CH37" s="661" t="s">
        <v>404</v>
      </c>
      <c r="CI37" s="660" t="s">
        <v>411</v>
      </c>
      <c r="CJ37" s="661" t="s">
        <v>404</v>
      </c>
      <c r="CK37" s="660" t="s">
        <v>411</v>
      </c>
      <c r="CL37" s="661" t="s">
        <v>404</v>
      </c>
      <c r="CM37" s="660" t="s">
        <v>411</v>
      </c>
      <c r="CN37" s="661" t="s">
        <v>404</v>
      </c>
      <c r="CO37" s="660" t="s">
        <v>411</v>
      </c>
      <c r="CP37" s="661" t="s">
        <v>404</v>
      </c>
      <c r="CQ37" s="660" t="s">
        <v>411</v>
      </c>
      <c r="CR37" s="661" t="s">
        <v>404</v>
      </c>
      <c r="CS37" s="660" t="s">
        <v>411</v>
      </c>
      <c r="CT37" s="661" t="s">
        <v>404</v>
      </c>
      <c r="CU37" s="660" t="s">
        <v>411</v>
      </c>
      <c r="CV37" s="661" t="s">
        <v>404</v>
      </c>
      <c r="CW37" s="660" t="s">
        <v>411</v>
      </c>
      <c r="CX37" s="661" t="s">
        <v>404</v>
      </c>
      <c r="CY37" s="660" t="s">
        <v>411</v>
      </c>
      <c r="CZ37" s="661" t="s">
        <v>404</v>
      </c>
      <c r="DA37" s="660" t="s">
        <v>411</v>
      </c>
      <c r="DB37" s="661" t="s">
        <v>404</v>
      </c>
      <c r="DC37" s="660" t="s">
        <v>411</v>
      </c>
      <c r="DD37" s="661" t="s">
        <v>404</v>
      </c>
      <c r="DE37" s="662" t="s">
        <v>411</v>
      </c>
      <c r="DF37" s="716"/>
      <c r="DG37" s="842" t="s">
        <v>407</v>
      </c>
      <c r="DH37" s="843"/>
      <c r="DI37" s="844" t="s">
        <v>408</v>
      </c>
      <c r="DJ37" s="845"/>
      <c r="DK37" s="846" t="s">
        <v>409</v>
      </c>
      <c r="DL37" s="847"/>
      <c r="DM37" s="659" t="s">
        <v>404</v>
      </c>
      <c r="DN37" s="660" t="s">
        <v>410</v>
      </c>
      <c r="DO37" s="661" t="s">
        <v>404</v>
      </c>
      <c r="DP37" s="660" t="s">
        <v>411</v>
      </c>
      <c r="DQ37" s="661" t="s">
        <v>404</v>
      </c>
      <c r="DR37" s="660" t="s">
        <v>411</v>
      </c>
      <c r="DS37" s="661" t="s">
        <v>404</v>
      </c>
      <c r="DT37" s="660" t="s">
        <v>411</v>
      </c>
      <c r="DU37" s="661" t="s">
        <v>404</v>
      </c>
      <c r="DV37" s="660" t="s">
        <v>411</v>
      </c>
      <c r="DW37" s="661" t="s">
        <v>404</v>
      </c>
      <c r="DX37" s="660" t="s">
        <v>411</v>
      </c>
      <c r="DY37" s="661" t="s">
        <v>404</v>
      </c>
      <c r="DZ37" s="660" t="s">
        <v>411</v>
      </c>
      <c r="EA37" s="661" t="s">
        <v>404</v>
      </c>
      <c r="EB37" s="660" t="s">
        <v>411</v>
      </c>
      <c r="EC37" s="661" t="s">
        <v>404</v>
      </c>
      <c r="ED37" s="660" t="s">
        <v>411</v>
      </c>
      <c r="EE37" s="661" t="s">
        <v>404</v>
      </c>
      <c r="EF37" s="660" t="s">
        <v>411</v>
      </c>
      <c r="EG37" s="661" t="s">
        <v>404</v>
      </c>
      <c r="EH37" s="660" t="s">
        <v>411</v>
      </c>
      <c r="EI37" s="661" t="s">
        <v>404</v>
      </c>
      <c r="EJ37" s="660" t="s">
        <v>411</v>
      </c>
      <c r="EK37" s="661" t="s">
        <v>404</v>
      </c>
      <c r="EL37" s="660" t="s">
        <v>411</v>
      </c>
      <c r="EM37" s="661" t="s">
        <v>404</v>
      </c>
      <c r="EN37" s="660" t="s">
        <v>411</v>
      </c>
      <c r="EO37" s="661" t="s">
        <v>404</v>
      </c>
      <c r="EP37" s="660" t="s">
        <v>411</v>
      </c>
      <c r="EQ37" s="661" t="s">
        <v>404</v>
      </c>
      <c r="ER37" s="660" t="s">
        <v>411</v>
      </c>
      <c r="ES37" s="661" t="s">
        <v>404</v>
      </c>
      <c r="ET37" s="660" t="s">
        <v>411</v>
      </c>
      <c r="EU37" s="661" t="s">
        <v>404</v>
      </c>
      <c r="EV37" s="660" t="s">
        <v>411</v>
      </c>
      <c r="EW37" s="661" t="s">
        <v>404</v>
      </c>
      <c r="EX37" s="660" t="s">
        <v>411</v>
      </c>
      <c r="EY37" s="661" t="s">
        <v>404</v>
      </c>
      <c r="EZ37" s="660" t="s">
        <v>411</v>
      </c>
      <c r="FA37" s="661" t="s">
        <v>404</v>
      </c>
      <c r="FB37" s="660" t="s">
        <v>411</v>
      </c>
      <c r="FC37" s="661" t="s">
        <v>404</v>
      </c>
      <c r="FD37" s="660" t="s">
        <v>411</v>
      </c>
      <c r="FE37" s="661" t="s">
        <v>404</v>
      </c>
      <c r="FF37" s="660" t="s">
        <v>411</v>
      </c>
      <c r="FG37" s="661" t="s">
        <v>404</v>
      </c>
      <c r="FH37" s="662" t="s">
        <v>411</v>
      </c>
      <c r="FI37" s="739"/>
      <c r="FJ37" s="816" t="s">
        <v>407</v>
      </c>
      <c r="FK37" s="843"/>
      <c r="FL37" s="844" t="s">
        <v>408</v>
      </c>
      <c r="FM37" s="845"/>
      <c r="FN37" s="846" t="s">
        <v>409</v>
      </c>
      <c r="FO37" s="847"/>
      <c r="FP37" s="665"/>
      <c r="FQ37" s="848" t="s">
        <v>412</v>
      </c>
      <c r="FR37" s="660" t="s">
        <v>411</v>
      </c>
      <c r="FS37" s="667"/>
      <c r="FT37" s="848" t="s">
        <v>412</v>
      </c>
      <c r="FU37" s="668" t="s">
        <v>411</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413</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260</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260</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260</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484</v>
      </c>
      <c r="GL38" s="410"/>
      <c r="GM38" s="414"/>
      <c r="GN38" s="410"/>
      <c r="GO38" s="414"/>
      <c r="GP38" s="414"/>
      <c r="GQ38" s="414"/>
      <c r="GR38" s="414"/>
      <c r="GS38" s="577"/>
      <c r="GT38" s="850"/>
      <c r="GU38" s="861" t="s">
        <v>455</v>
      </c>
      <c r="GV38" s="862"/>
      <c r="GW38" s="862"/>
      <c r="GX38" s="862"/>
      <c r="GY38" s="862"/>
      <c r="GZ38" s="863"/>
      <c r="HA38" s="630">
        <v>138.78</v>
      </c>
      <c r="HB38" s="864">
        <v>53.3</v>
      </c>
      <c r="HC38" s="527"/>
      <c r="HD38" s="527"/>
      <c r="HE38" s="388"/>
      <c r="HF38" s="388"/>
      <c r="HK38" s="416"/>
    </row>
    <row r="39" spans="1:219" ht="20.100000000000001" customHeight="1">
      <c r="A39" s="821"/>
      <c r="B39" s="865" t="s">
        <v>414</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267</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267</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267</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485</v>
      </c>
      <c r="GN39" s="875"/>
      <c r="GO39" s="876" t="s">
        <v>486</v>
      </c>
      <c r="GP39" s="875"/>
      <c r="GQ39" s="876" t="s">
        <v>487</v>
      </c>
      <c r="GR39" s="877"/>
      <c r="GS39" s="414"/>
      <c r="GT39" s="682"/>
      <c r="GU39" s="527" t="s">
        <v>488</v>
      </c>
      <c r="GV39" s="527"/>
      <c r="GW39" s="527"/>
      <c r="GX39" s="527"/>
      <c r="GY39" s="527"/>
      <c r="GZ39" s="527"/>
      <c r="HA39" s="683">
        <v>2.6</v>
      </c>
      <c r="HB39" s="576"/>
      <c r="HC39" s="527"/>
      <c r="HD39" s="559"/>
    </row>
    <row r="40" spans="1:219" ht="20.100000000000001" customHeight="1">
      <c r="A40" s="878"/>
      <c r="B40" s="639"/>
      <c r="C40" s="639"/>
      <c r="D40" s="640" t="s">
        <v>415</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415</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415</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415</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511</v>
      </c>
      <c r="GV40" s="527"/>
      <c r="GW40" s="527"/>
      <c r="GX40" s="527"/>
      <c r="GY40" s="527"/>
      <c r="GZ40" s="527"/>
      <c r="HA40" s="883">
        <v>49.8</v>
      </c>
      <c r="HB40" s="414"/>
      <c r="HC40" s="527"/>
      <c r="HD40" s="577"/>
      <c r="HK40" s="416"/>
    </row>
    <row r="41" spans="1:219" ht="20.100000000000001" customHeight="1">
      <c r="A41" s="851" t="s">
        <v>416</v>
      </c>
      <c r="B41" s="731"/>
      <c r="C41" s="884"/>
      <c r="D41" s="884"/>
      <c r="E41" s="884"/>
      <c r="F41" s="885"/>
      <c r="G41" s="733"/>
      <c r="H41" s="660" t="s">
        <v>393</v>
      </c>
      <c r="I41" s="734"/>
      <c r="J41" s="660" t="s">
        <v>393</v>
      </c>
      <c r="K41" s="735"/>
      <c r="L41" s="660" t="s">
        <v>393</v>
      </c>
      <c r="M41" s="735"/>
      <c r="N41" s="660" t="s">
        <v>393</v>
      </c>
      <c r="O41" s="735"/>
      <c r="P41" s="660" t="s">
        <v>393</v>
      </c>
      <c r="Q41" s="735"/>
      <c r="R41" s="660" t="s">
        <v>393</v>
      </c>
      <c r="S41" s="735"/>
      <c r="T41" s="660" t="s">
        <v>393</v>
      </c>
      <c r="U41" s="735"/>
      <c r="V41" s="660" t="s">
        <v>393</v>
      </c>
      <c r="W41" s="735"/>
      <c r="X41" s="660" t="s">
        <v>393</v>
      </c>
      <c r="Y41" s="735" t="s">
        <v>404</v>
      </c>
      <c r="Z41" s="660" t="s">
        <v>393</v>
      </c>
      <c r="AA41" s="735" t="s">
        <v>404</v>
      </c>
      <c r="AB41" s="660" t="s">
        <v>393</v>
      </c>
      <c r="AC41" s="735"/>
      <c r="AD41" s="660" t="s">
        <v>393</v>
      </c>
      <c r="AE41" s="735"/>
      <c r="AF41" s="660" t="s">
        <v>393</v>
      </c>
      <c r="AG41" s="735"/>
      <c r="AH41" s="660" t="s">
        <v>393</v>
      </c>
      <c r="AI41" s="735"/>
      <c r="AJ41" s="660" t="s">
        <v>393</v>
      </c>
      <c r="AK41" s="735"/>
      <c r="AL41" s="660" t="s">
        <v>393</v>
      </c>
      <c r="AM41" s="735"/>
      <c r="AN41" s="660" t="s">
        <v>393</v>
      </c>
      <c r="AO41" s="735"/>
      <c r="AP41" s="660" t="s">
        <v>393</v>
      </c>
      <c r="AQ41" s="735"/>
      <c r="AR41" s="660" t="s">
        <v>393</v>
      </c>
      <c r="AS41" s="735"/>
      <c r="AT41" s="660" t="s">
        <v>393</v>
      </c>
      <c r="AU41" s="735"/>
      <c r="AV41" s="660" t="s">
        <v>393</v>
      </c>
      <c r="AW41" s="735"/>
      <c r="AX41" s="660" t="s">
        <v>393</v>
      </c>
      <c r="AY41" s="735"/>
      <c r="AZ41" s="660" t="s">
        <v>393</v>
      </c>
      <c r="BA41" s="735"/>
      <c r="BB41" s="662" t="s">
        <v>393</v>
      </c>
      <c r="BC41" s="716"/>
      <c r="BD41" s="851" t="s">
        <v>416</v>
      </c>
      <c r="BE41" s="731"/>
      <c r="BF41" s="884"/>
      <c r="BG41" s="884"/>
      <c r="BH41" s="884"/>
      <c r="BI41" s="885"/>
      <c r="BJ41" s="733"/>
      <c r="BK41" s="660" t="s">
        <v>393</v>
      </c>
      <c r="BL41" s="734"/>
      <c r="BM41" s="660" t="s">
        <v>393</v>
      </c>
      <c r="BN41" s="735"/>
      <c r="BO41" s="660" t="s">
        <v>393</v>
      </c>
      <c r="BP41" s="735"/>
      <c r="BQ41" s="660" t="s">
        <v>393</v>
      </c>
      <c r="BR41" s="735"/>
      <c r="BS41" s="660" t="s">
        <v>393</v>
      </c>
      <c r="BT41" s="735"/>
      <c r="BU41" s="660" t="s">
        <v>393</v>
      </c>
      <c r="BV41" s="735"/>
      <c r="BW41" s="660" t="s">
        <v>393</v>
      </c>
      <c r="BX41" s="735"/>
      <c r="BY41" s="660" t="s">
        <v>393</v>
      </c>
      <c r="BZ41" s="735"/>
      <c r="CA41" s="660" t="s">
        <v>393</v>
      </c>
      <c r="CB41" s="735" t="s">
        <v>404</v>
      </c>
      <c r="CC41" s="660" t="s">
        <v>393</v>
      </c>
      <c r="CD41" s="735" t="s">
        <v>404</v>
      </c>
      <c r="CE41" s="660" t="s">
        <v>393</v>
      </c>
      <c r="CF41" s="735"/>
      <c r="CG41" s="660" t="s">
        <v>393</v>
      </c>
      <c r="CH41" s="735"/>
      <c r="CI41" s="660" t="s">
        <v>393</v>
      </c>
      <c r="CJ41" s="735"/>
      <c r="CK41" s="660" t="s">
        <v>393</v>
      </c>
      <c r="CL41" s="735"/>
      <c r="CM41" s="660" t="s">
        <v>393</v>
      </c>
      <c r="CN41" s="735"/>
      <c r="CO41" s="660" t="s">
        <v>393</v>
      </c>
      <c r="CP41" s="735"/>
      <c r="CQ41" s="660" t="s">
        <v>393</v>
      </c>
      <c r="CR41" s="735"/>
      <c r="CS41" s="660" t="s">
        <v>393</v>
      </c>
      <c r="CT41" s="735"/>
      <c r="CU41" s="660" t="s">
        <v>393</v>
      </c>
      <c r="CV41" s="735"/>
      <c r="CW41" s="660" t="s">
        <v>393</v>
      </c>
      <c r="CX41" s="735"/>
      <c r="CY41" s="660" t="s">
        <v>393</v>
      </c>
      <c r="CZ41" s="735"/>
      <c r="DA41" s="660" t="s">
        <v>393</v>
      </c>
      <c r="DB41" s="735"/>
      <c r="DC41" s="660" t="s">
        <v>393</v>
      </c>
      <c r="DD41" s="735"/>
      <c r="DE41" s="662" t="s">
        <v>393</v>
      </c>
      <c r="DF41" s="716"/>
      <c r="DG41" s="851" t="s">
        <v>416</v>
      </c>
      <c r="DH41" s="731"/>
      <c r="DI41" s="884"/>
      <c r="DJ41" s="884"/>
      <c r="DK41" s="884"/>
      <c r="DL41" s="885"/>
      <c r="DM41" s="733"/>
      <c r="DN41" s="660" t="s">
        <v>393</v>
      </c>
      <c r="DO41" s="734"/>
      <c r="DP41" s="660" t="s">
        <v>393</v>
      </c>
      <c r="DQ41" s="735"/>
      <c r="DR41" s="660" t="s">
        <v>393</v>
      </c>
      <c r="DS41" s="735"/>
      <c r="DT41" s="660" t="s">
        <v>393</v>
      </c>
      <c r="DU41" s="735"/>
      <c r="DV41" s="660" t="s">
        <v>393</v>
      </c>
      <c r="DW41" s="735"/>
      <c r="DX41" s="660" t="s">
        <v>393</v>
      </c>
      <c r="DY41" s="735"/>
      <c r="DZ41" s="660" t="s">
        <v>393</v>
      </c>
      <c r="EA41" s="735"/>
      <c r="EB41" s="660" t="s">
        <v>393</v>
      </c>
      <c r="EC41" s="735"/>
      <c r="ED41" s="660" t="s">
        <v>393</v>
      </c>
      <c r="EE41" s="735" t="s">
        <v>404</v>
      </c>
      <c r="EF41" s="660" t="s">
        <v>393</v>
      </c>
      <c r="EG41" s="735" t="s">
        <v>404</v>
      </c>
      <c r="EH41" s="660" t="s">
        <v>393</v>
      </c>
      <c r="EI41" s="735"/>
      <c r="EJ41" s="660" t="s">
        <v>393</v>
      </c>
      <c r="EK41" s="735"/>
      <c r="EL41" s="660" t="s">
        <v>393</v>
      </c>
      <c r="EM41" s="735"/>
      <c r="EN41" s="660" t="s">
        <v>393</v>
      </c>
      <c r="EO41" s="735"/>
      <c r="EP41" s="660" t="s">
        <v>393</v>
      </c>
      <c r="EQ41" s="735"/>
      <c r="ER41" s="660" t="s">
        <v>393</v>
      </c>
      <c r="ES41" s="735"/>
      <c r="ET41" s="660" t="s">
        <v>393</v>
      </c>
      <c r="EU41" s="735"/>
      <c r="EV41" s="660" t="s">
        <v>393</v>
      </c>
      <c r="EW41" s="735"/>
      <c r="EX41" s="660" t="s">
        <v>393</v>
      </c>
      <c r="EY41" s="735"/>
      <c r="EZ41" s="660" t="s">
        <v>393</v>
      </c>
      <c r="FA41" s="735"/>
      <c r="FB41" s="660" t="s">
        <v>393</v>
      </c>
      <c r="FC41" s="735"/>
      <c r="FD41" s="660" t="s">
        <v>393</v>
      </c>
      <c r="FE41" s="735"/>
      <c r="FF41" s="660" t="s">
        <v>393</v>
      </c>
      <c r="FG41" s="735"/>
      <c r="FH41" s="662" t="s">
        <v>393</v>
      </c>
      <c r="FI41" s="739"/>
      <c r="FJ41" s="816" t="s">
        <v>416</v>
      </c>
      <c r="FK41" s="736"/>
      <c r="FL41" s="886"/>
      <c r="FM41" s="886"/>
      <c r="FN41" s="886"/>
      <c r="FO41" s="887"/>
      <c r="FP41" s="740"/>
      <c r="FQ41" s="666"/>
      <c r="FR41" s="660" t="s">
        <v>395</v>
      </c>
      <c r="FS41" s="741"/>
      <c r="FT41" s="666"/>
      <c r="FU41" s="668" t="s">
        <v>395</v>
      </c>
      <c r="FV41" s="590"/>
      <c r="FW41" s="591"/>
      <c r="FX41" s="799"/>
      <c r="FY41" s="593"/>
      <c r="FZ41" s="800"/>
      <c r="GA41" s="595"/>
      <c r="GB41" s="801"/>
      <c r="GC41" s="597"/>
      <c r="GD41" s="801"/>
      <c r="GE41" s="598"/>
      <c r="GF41" s="742"/>
      <c r="GG41" s="743"/>
      <c r="GH41" s="743"/>
      <c r="GI41" s="743"/>
      <c r="GJ41" s="577"/>
      <c r="GK41" s="888" t="s">
        <v>489</v>
      </c>
      <c r="GL41" s="889"/>
      <c r="GM41" s="890" t="s">
        <v>490</v>
      </c>
      <c r="GN41" s="890"/>
      <c r="GO41" s="890" t="s">
        <v>491</v>
      </c>
      <c r="GP41" s="890"/>
      <c r="GQ41" s="890"/>
      <c r="GR41" s="891"/>
      <c r="GS41" s="850"/>
      <c r="GT41" s="682"/>
      <c r="GU41" s="527" t="s">
        <v>512</v>
      </c>
      <c r="GV41" s="527"/>
      <c r="GW41" s="527"/>
      <c r="GX41" s="527"/>
      <c r="GY41" s="527"/>
      <c r="GZ41" s="527"/>
      <c r="HA41" s="883">
        <v>36</v>
      </c>
      <c r="HB41" s="414"/>
      <c r="HC41" s="527"/>
      <c r="HD41" s="410"/>
    </row>
    <row r="42" spans="1:219" ht="20.100000000000001" customHeight="1">
      <c r="A42" s="821"/>
      <c r="B42" s="892" t="s">
        <v>417</v>
      </c>
      <c r="C42" s="893"/>
      <c r="D42" s="893"/>
      <c r="E42" s="894"/>
      <c r="F42" s="895"/>
      <c r="G42" s="825"/>
      <c r="H42" s="826"/>
      <c r="I42" s="827"/>
      <c r="J42" s="792"/>
      <c r="K42" s="828"/>
      <c r="L42" s="792"/>
      <c r="M42" s="828"/>
      <c r="N42" s="792"/>
      <c r="O42" s="828"/>
      <c r="P42" s="792"/>
      <c r="Q42" s="828"/>
      <c r="R42" s="792"/>
      <c r="S42" s="828"/>
      <c r="T42" s="792"/>
      <c r="U42" s="828"/>
      <c r="V42" s="792"/>
      <c r="W42" s="828"/>
      <c r="X42" s="792">
        <v>1348</v>
      </c>
      <c r="Y42" s="828"/>
      <c r="Z42" s="792">
        <v>869</v>
      </c>
      <c r="AA42" s="828"/>
      <c r="AB42" s="792">
        <v>847</v>
      </c>
      <c r="AC42" s="828"/>
      <c r="AD42" s="792">
        <v>821</v>
      </c>
      <c r="AE42" s="828"/>
      <c r="AF42" s="792">
        <v>800</v>
      </c>
      <c r="AG42" s="828"/>
      <c r="AH42" s="792">
        <v>778</v>
      </c>
      <c r="AI42" s="828"/>
      <c r="AJ42" s="792">
        <v>757</v>
      </c>
      <c r="AK42" s="828"/>
      <c r="AL42" s="792">
        <v>741</v>
      </c>
      <c r="AM42" s="828"/>
      <c r="AN42" s="792">
        <v>720</v>
      </c>
      <c r="AO42" s="828"/>
      <c r="AP42" s="792">
        <v>704</v>
      </c>
      <c r="AQ42" s="828"/>
      <c r="AR42" s="792"/>
      <c r="AS42" s="828"/>
      <c r="AT42" s="792"/>
      <c r="AU42" s="828"/>
      <c r="AV42" s="792"/>
      <c r="AW42" s="828"/>
      <c r="AX42" s="792"/>
      <c r="AY42" s="828"/>
      <c r="AZ42" s="792"/>
      <c r="BA42" s="828"/>
      <c r="BB42" s="829"/>
      <c r="BC42" s="559"/>
      <c r="BD42" s="821"/>
      <c r="BE42" s="896" t="s">
        <v>417</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1348</v>
      </c>
      <c r="CB42" s="828"/>
      <c r="CC42" s="792">
        <v>869</v>
      </c>
      <c r="CD42" s="828"/>
      <c r="CE42" s="792">
        <v>847</v>
      </c>
      <c r="CF42" s="828"/>
      <c r="CG42" s="792">
        <v>821</v>
      </c>
      <c r="CH42" s="828"/>
      <c r="CI42" s="792">
        <v>800</v>
      </c>
      <c r="CJ42" s="828"/>
      <c r="CK42" s="792">
        <v>778</v>
      </c>
      <c r="CL42" s="828"/>
      <c r="CM42" s="792">
        <v>757</v>
      </c>
      <c r="CN42" s="828"/>
      <c r="CO42" s="792">
        <v>741</v>
      </c>
      <c r="CP42" s="828"/>
      <c r="CQ42" s="792">
        <v>720</v>
      </c>
      <c r="CR42" s="828"/>
      <c r="CS42" s="792">
        <v>704</v>
      </c>
      <c r="CT42" s="828"/>
      <c r="CU42" s="792"/>
      <c r="CV42" s="828"/>
      <c r="CW42" s="792"/>
      <c r="CX42" s="828"/>
      <c r="CY42" s="792"/>
      <c r="CZ42" s="828"/>
      <c r="DA42" s="792"/>
      <c r="DB42" s="828"/>
      <c r="DC42" s="792"/>
      <c r="DD42" s="828"/>
      <c r="DE42" s="829"/>
      <c r="DF42" s="559"/>
      <c r="DG42" s="821"/>
      <c r="DH42" s="896" t="s">
        <v>417</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1348</v>
      </c>
      <c r="EE42" s="828"/>
      <c r="EF42" s="792">
        <v>869</v>
      </c>
      <c r="EG42" s="828"/>
      <c r="EH42" s="792">
        <v>847</v>
      </c>
      <c r="EI42" s="828"/>
      <c r="EJ42" s="792">
        <v>821</v>
      </c>
      <c r="EK42" s="828"/>
      <c r="EL42" s="792">
        <v>800</v>
      </c>
      <c r="EM42" s="828"/>
      <c r="EN42" s="792">
        <v>778</v>
      </c>
      <c r="EO42" s="828"/>
      <c r="EP42" s="792">
        <v>757</v>
      </c>
      <c r="EQ42" s="828"/>
      <c r="ER42" s="792">
        <v>741</v>
      </c>
      <c r="ES42" s="828"/>
      <c r="ET42" s="792">
        <v>720</v>
      </c>
      <c r="EU42" s="828"/>
      <c r="EV42" s="792">
        <v>704</v>
      </c>
      <c r="EW42" s="828"/>
      <c r="EX42" s="792"/>
      <c r="EY42" s="828"/>
      <c r="EZ42" s="792"/>
      <c r="FA42" s="828"/>
      <c r="FB42" s="792"/>
      <c r="FC42" s="828"/>
      <c r="FD42" s="792"/>
      <c r="FE42" s="828"/>
      <c r="FF42" s="792"/>
      <c r="FG42" s="828"/>
      <c r="FH42" s="829"/>
      <c r="FI42" s="560"/>
      <c r="FJ42" s="830"/>
      <c r="FK42" s="896" t="s">
        <v>417</v>
      </c>
      <c r="FL42" s="893"/>
      <c r="FM42" s="893"/>
      <c r="FN42" s="894"/>
      <c r="FO42" s="895"/>
      <c r="FP42" s="831"/>
      <c r="FQ42" s="827"/>
      <c r="FR42" s="826">
        <v>2932</v>
      </c>
      <c r="FS42" s="832"/>
      <c r="FT42" s="827"/>
      <c r="FU42" s="798">
        <v>2932</v>
      </c>
      <c r="FV42" s="590"/>
      <c r="FW42" s="591"/>
      <c r="FX42" s="799"/>
      <c r="FY42" s="593"/>
      <c r="FZ42" s="800"/>
      <c r="GA42" s="595"/>
      <c r="GB42" s="801"/>
      <c r="GC42" s="597"/>
      <c r="GD42" s="801"/>
      <c r="GE42" s="598"/>
      <c r="GF42" s="833"/>
      <c r="GG42" s="599"/>
      <c r="GH42" s="599"/>
      <c r="GI42" s="599"/>
      <c r="GJ42" s="410"/>
      <c r="GK42" s="897"/>
      <c r="GL42" s="898"/>
      <c r="GM42" s="899">
        <v>10.6</v>
      </c>
      <c r="GN42" s="899"/>
      <c r="GO42" s="899">
        <v>14.7</v>
      </c>
      <c r="GP42" s="899"/>
      <c r="GQ42" s="899">
        <v>25.299999999999997</v>
      </c>
      <c r="GR42" s="900"/>
      <c r="GS42" s="577"/>
      <c r="GT42" s="497"/>
      <c r="GU42" s="497"/>
      <c r="GV42" s="497"/>
      <c r="GW42" s="576"/>
      <c r="GX42" s="576"/>
      <c r="GY42" s="576"/>
      <c r="GZ42" s="575"/>
      <c r="HA42" s="497"/>
      <c r="HB42" s="497"/>
      <c r="HC42" s="527"/>
      <c r="HD42" s="527"/>
    </row>
    <row r="43" spans="1:219" ht="20.100000000000001" customHeight="1">
      <c r="A43" s="821"/>
      <c r="B43" s="901" t="s">
        <v>418</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418</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418</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418</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492</v>
      </c>
      <c r="GL43" s="918"/>
      <c r="GM43" s="919" t="s">
        <v>493</v>
      </c>
      <c r="GN43" s="919"/>
      <c r="GO43" s="919" t="s">
        <v>494</v>
      </c>
      <c r="GP43" s="919"/>
      <c r="GQ43" s="919"/>
      <c r="GR43" s="920"/>
      <c r="GS43" s="577"/>
      <c r="GT43" s="606"/>
      <c r="GU43" s="527" t="s">
        <v>464</v>
      </c>
      <c r="GV43" s="414"/>
      <c r="GW43" s="410"/>
      <c r="GX43" s="414"/>
      <c r="GY43" s="414"/>
      <c r="GZ43" s="414"/>
      <c r="HA43" s="410"/>
      <c r="HB43" s="414"/>
      <c r="HC43" s="921"/>
      <c r="HD43" s="416"/>
    </row>
    <row r="44" spans="1:219" ht="20.100000000000001" customHeight="1" thickBot="1">
      <c r="A44" s="922"/>
      <c r="B44" s="639"/>
      <c r="C44" s="639"/>
      <c r="D44" s="640" t="s">
        <v>419</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1348</v>
      </c>
      <c r="Y44" s="838"/>
      <c r="Z44" s="837">
        <v>869</v>
      </c>
      <c r="AA44" s="838"/>
      <c r="AB44" s="837">
        <v>847</v>
      </c>
      <c r="AC44" s="838"/>
      <c r="AD44" s="837">
        <v>821</v>
      </c>
      <c r="AE44" s="838"/>
      <c r="AF44" s="837">
        <v>800</v>
      </c>
      <c r="AG44" s="838"/>
      <c r="AH44" s="837">
        <v>778</v>
      </c>
      <c r="AI44" s="838"/>
      <c r="AJ44" s="837">
        <v>757</v>
      </c>
      <c r="AK44" s="838"/>
      <c r="AL44" s="837">
        <v>741</v>
      </c>
      <c r="AM44" s="838"/>
      <c r="AN44" s="837">
        <v>720</v>
      </c>
      <c r="AO44" s="838"/>
      <c r="AP44" s="837">
        <v>704</v>
      </c>
      <c r="AQ44" s="838"/>
      <c r="AR44" s="837">
        <v>0</v>
      </c>
      <c r="AS44" s="838"/>
      <c r="AT44" s="837">
        <v>0</v>
      </c>
      <c r="AU44" s="838"/>
      <c r="AV44" s="837">
        <v>0</v>
      </c>
      <c r="AW44" s="838"/>
      <c r="AX44" s="837">
        <v>0</v>
      </c>
      <c r="AY44" s="838"/>
      <c r="AZ44" s="837">
        <v>0</v>
      </c>
      <c r="BA44" s="838"/>
      <c r="BB44" s="839">
        <v>0</v>
      </c>
      <c r="BC44" s="645"/>
      <c r="BD44" s="922"/>
      <c r="BE44" s="639"/>
      <c r="BF44" s="639"/>
      <c r="BG44" s="640" t="s">
        <v>419</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1348</v>
      </c>
      <c r="CB44" s="838"/>
      <c r="CC44" s="837">
        <v>869</v>
      </c>
      <c r="CD44" s="838"/>
      <c r="CE44" s="837">
        <v>847</v>
      </c>
      <c r="CF44" s="838"/>
      <c r="CG44" s="837">
        <v>821</v>
      </c>
      <c r="CH44" s="838"/>
      <c r="CI44" s="837">
        <v>800</v>
      </c>
      <c r="CJ44" s="838"/>
      <c r="CK44" s="837">
        <v>778</v>
      </c>
      <c r="CL44" s="838"/>
      <c r="CM44" s="837">
        <v>757</v>
      </c>
      <c r="CN44" s="838"/>
      <c r="CO44" s="837">
        <v>741</v>
      </c>
      <c r="CP44" s="838"/>
      <c r="CQ44" s="837">
        <v>720</v>
      </c>
      <c r="CR44" s="838"/>
      <c r="CS44" s="837">
        <v>704</v>
      </c>
      <c r="CT44" s="838"/>
      <c r="CU44" s="837">
        <v>0</v>
      </c>
      <c r="CV44" s="838"/>
      <c r="CW44" s="837">
        <v>0</v>
      </c>
      <c r="CX44" s="838"/>
      <c r="CY44" s="837">
        <v>0</v>
      </c>
      <c r="CZ44" s="838"/>
      <c r="DA44" s="837">
        <v>0</v>
      </c>
      <c r="DB44" s="838"/>
      <c r="DC44" s="837">
        <v>0</v>
      </c>
      <c r="DD44" s="838"/>
      <c r="DE44" s="839">
        <v>0</v>
      </c>
      <c r="DF44" s="645"/>
      <c r="DG44" s="922"/>
      <c r="DH44" s="639"/>
      <c r="DI44" s="639"/>
      <c r="DJ44" s="640" t="s">
        <v>419</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1348</v>
      </c>
      <c r="EE44" s="838"/>
      <c r="EF44" s="837">
        <v>869</v>
      </c>
      <c r="EG44" s="838"/>
      <c r="EH44" s="837">
        <v>847</v>
      </c>
      <c r="EI44" s="838"/>
      <c r="EJ44" s="837">
        <v>821</v>
      </c>
      <c r="EK44" s="838"/>
      <c r="EL44" s="837">
        <v>800</v>
      </c>
      <c r="EM44" s="838"/>
      <c r="EN44" s="837">
        <v>778</v>
      </c>
      <c r="EO44" s="838"/>
      <c r="EP44" s="837">
        <v>757</v>
      </c>
      <c r="EQ44" s="838"/>
      <c r="ER44" s="837">
        <v>741</v>
      </c>
      <c r="ES44" s="838"/>
      <c r="ET44" s="837">
        <v>720</v>
      </c>
      <c r="EU44" s="838"/>
      <c r="EV44" s="837">
        <v>704</v>
      </c>
      <c r="EW44" s="838"/>
      <c r="EX44" s="837">
        <v>0</v>
      </c>
      <c r="EY44" s="838"/>
      <c r="EZ44" s="837">
        <v>0</v>
      </c>
      <c r="FA44" s="838"/>
      <c r="FB44" s="837">
        <v>0</v>
      </c>
      <c r="FC44" s="838"/>
      <c r="FD44" s="837">
        <v>0</v>
      </c>
      <c r="FE44" s="838"/>
      <c r="FF44" s="837">
        <v>0</v>
      </c>
      <c r="FG44" s="838"/>
      <c r="FH44" s="839">
        <v>0</v>
      </c>
      <c r="FI44" s="646"/>
      <c r="FJ44" s="923"/>
      <c r="FK44" s="639"/>
      <c r="FL44" s="639"/>
      <c r="FM44" s="640" t="s">
        <v>419</v>
      </c>
      <c r="FN44" s="639"/>
      <c r="FO44" s="639"/>
      <c r="FP44" s="647"/>
      <c r="FQ44" s="836"/>
      <c r="FR44" s="835">
        <v>2932</v>
      </c>
      <c r="FS44" s="840"/>
      <c r="FT44" s="836"/>
      <c r="FU44" s="841">
        <v>2932</v>
      </c>
      <c r="FV44" s="590" t="s">
        <v>322</v>
      </c>
      <c r="FW44" s="591"/>
      <c r="FX44" s="799" t="s">
        <v>323</v>
      </c>
      <c r="FY44" s="593"/>
      <c r="FZ44" s="800" t="s">
        <v>324</v>
      </c>
      <c r="GA44" s="595"/>
      <c r="GB44" s="801" t="s">
        <v>325</v>
      </c>
      <c r="GC44" s="597"/>
      <c r="GD44" s="801" t="s">
        <v>326</v>
      </c>
      <c r="GE44" s="598"/>
      <c r="GF44" s="651"/>
      <c r="GG44" s="652"/>
      <c r="GH44" s="652"/>
      <c r="GI44" s="652"/>
      <c r="GJ44" s="527"/>
      <c r="GK44" s="897"/>
      <c r="GL44" s="898"/>
      <c r="GM44" s="924">
        <v>6.9</v>
      </c>
      <c r="GN44" s="924"/>
      <c r="GO44" s="924">
        <v>10</v>
      </c>
      <c r="GP44" s="924"/>
      <c r="GQ44" s="899">
        <v>16.899999999999999</v>
      </c>
      <c r="GR44" s="900"/>
      <c r="GS44" s="925"/>
      <c r="GT44" s="926"/>
      <c r="GU44" s="527" t="s">
        <v>495</v>
      </c>
      <c r="GV44" s="612"/>
      <c r="GW44" s="612"/>
      <c r="GX44" s="612"/>
      <c r="GY44" s="414"/>
      <c r="GZ44" s="414"/>
      <c r="HA44" s="744">
        <v>1.5</v>
      </c>
      <c r="HB44" s="414" t="s">
        <v>467</v>
      </c>
      <c r="HC44" s="927"/>
      <c r="HD44" s="416"/>
    </row>
    <row r="45" spans="1:219" ht="20.100000000000001" customHeight="1" thickTop="1">
      <c r="A45" s="928" t="s">
        <v>420</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3395</v>
      </c>
      <c r="Y45" s="933"/>
      <c r="Z45" s="932">
        <v>3100</v>
      </c>
      <c r="AA45" s="933"/>
      <c r="AB45" s="932">
        <v>3195</v>
      </c>
      <c r="AC45" s="933"/>
      <c r="AD45" s="932">
        <v>3236</v>
      </c>
      <c r="AE45" s="933"/>
      <c r="AF45" s="932">
        <v>3247</v>
      </c>
      <c r="AG45" s="933"/>
      <c r="AH45" s="932">
        <v>3226</v>
      </c>
      <c r="AI45" s="933"/>
      <c r="AJ45" s="932">
        <v>3136</v>
      </c>
      <c r="AK45" s="933"/>
      <c r="AL45" s="932">
        <v>3026</v>
      </c>
      <c r="AM45" s="933"/>
      <c r="AN45" s="932">
        <v>2860</v>
      </c>
      <c r="AO45" s="933"/>
      <c r="AP45" s="932">
        <v>2686</v>
      </c>
      <c r="AQ45" s="933"/>
      <c r="AR45" s="932">
        <v>0</v>
      </c>
      <c r="AS45" s="933"/>
      <c r="AT45" s="932">
        <v>0</v>
      </c>
      <c r="AU45" s="933"/>
      <c r="AV45" s="932">
        <v>0</v>
      </c>
      <c r="AW45" s="933"/>
      <c r="AX45" s="932">
        <v>0</v>
      </c>
      <c r="AY45" s="933"/>
      <c r="AZ45" s="932">
        <v>0</v>
      </c>
      <c r="BA45" s="933"/>
      <c r="BB45" s="934">
        <v>0</v>
      </c>
      <c r="BC45" s="645"/>
      <c r="BD45" s="928" t="s">
        <v>420</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3448</v>
      </c>
      <c r="CB45" s="933"/>
      <c r="CC45" s="932">
        <v>3108</v>
      </c>
      <c r="CD45" s="933"/>
      <c r="CE45" s="932">
        <v>3179</v>
      </c>
      <c r="CF45" s="933"/>
      <c r="CG45" s="932">
        <v>3184</v>
      </c>
      <c r="CH45" s="933"/>
      <c r="CI45" s="932">
        <v>3178</v>
      </c>
      <c r="CJ45" s="933"/>
      <c r="CK45" s="932">
        <v>3131</v>
      </c>
      <c r="CL45" s="933"/>
      <c r="CM45" s="932">
        <v>3054</v>
      </c>
      <c r="CN45" s="933"/>
      <c r="CO45" s="932">
        <v>2968</v>
      </c>
      <c r="CP45" s="933"/>
      <c r="CQ45" s="932">
        <v>2843</v>
      </c>
      <c r="CR45" s="933"/>
      <c r="CS45" s="932">
        <v>2675</v>
      </c>
      <c r="CT45" s="933"/>
      <c r="CU45" s="932">
        <v>0</v>
      </c>
      <c r="CV45" s="933"/>
      <c r="CW45" s="932">
        <v>0</v>
      </c>
      <c r="CX45" s="933"/>
      <c r="CY45" s="932">
        <v>0</v>
      </c>
      <c r="CZ45" s="933"/>
      <c r="DA45" s="932">
        <v>0</v>
      </c>
      <c r="DB45" s="933"/>
      <c r="DC45" s="932">
        <v>0</v>
      </c>
      <c r="DD45" s="933"/>
      <c r="DE45" s="934">
        <v>0</v>
      </c>
      <c r="DF45" s="645"/>
      <c r="DG45" s="928" t="s">
        <v>420</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3176</v>
      </c>
      <c r="EE45" s="933"/>
      <c r="EF45" s="932">
        <v>2740</v>
      </c>
      <c r="EG45" s="933"/>
      <c r="EH45" s="932">
        <v>2839</v>
      </c>
      <c r="EI45" s="933"/>
      <c r="EJ45" s="932">
        <v>2889</v>
      </c>
      <c r="EK45" s="933"/>
      <c r="EL45" s="932">
        <v>2879</v>
      </c>
      <c r="EM45" s="933"/>
      <c r="EN45" s="932">
        <v>2831</v>
      </c>
      <c r="EO45" s="933"/>
      <c r="EP45" s="932">
        <v>2762</v>
      </c>
      <c r="EQ45" s="933"/>
      <c r="ER45" s="932">
        <v>2675</v>
      </c>
      <c r="ES45" s="933"/>
      <c r="ET45" s="932">
        <v>2506</v>
      </c>
      <c r="EU45" s="933"/>
      <c r="EV45" s="932">
        <v>2349</v>
      </c>
      <c r="EW45" s="933"/>
      <c r="EX45" s="932">
        <v>0</v>
      </c>
      <c r="EY45" s="933"/>
      <c r="EZ45" s="932">
        <v>0</v>
      </c>
      <c r="FA45" s="933"/>
      <c r="FB45" s="932">
        <v>0</v>
      </c>
      <c r="FC45" s="933"/>
      <c r="FD45" s="932">
        <v>0</v>
      </c>
      <c r="FE45" s="933"/>
      <c r="FF45" s="932">
        <v>0</v>
      </c>
      <c r="FG45" s="933"/>
      <c r="FH45" s="934">
        <v>0</v>
      </c>
      <c r="FI45" s="645"/>
      <c r="FJ45" s="928" t="s">
        <v>420</v>
      </c>
      <c r="FK45" s="929"/>
      <c r="FL45" s="929"/>
      <c r="FM45" s="929"/>
      <c r="FN45" s="929"/>
      <c r="FO45" s="930"/>
      <c r="FP45" s="935"/>
      <c r="FQ45" s="936"/>
      <c r="FR45" s="932">
        <v>5708</v>
      </c>
      <c r="FS45" s="937"/>
      <c r="FT45" s="936"/>
      <c r="FU45" s="938">
        <v>5770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496</v>
      </c>
      <c r="GV45" s="414"/>
      <c r="GW45" s="414"/>
      <c r="GX45" s="414"/>
      <c r="GY45" s="527"/>
      <c r="GZ45" s="726"/>
      <c r="HA45" s="744">
        <v>22</v>
      </c>
      <c r="HB45" s="414" t="s">
        <v>467</v>
      </c>
      <c r="HC45" s="927"/>
      <c r="HD45" s="416"/>
    </row>
    <row r="46" spans="1:219" ht="20.100000000000001" customHeight="1">
      <c r="A46" s="943" t="s">
        <v>421</v>
      </c>
      <c r="B46" s="944"/>
      <c r="C46" s="944"/>
      <c r="D46" s="944"/>
      <c r="E46" s="944"/>
      <c r="F46" s="945"/>
      <c r="G46" s="946" t="s">
        <v>422</v>
      </c>
      <c r="H46" s="947"/>
      <c r="I46" s="948" t="s">
        <v>422</v>
      </c>
      <c r="J46" s="947"/>
      <c r="K46" s="948" t="s">
        <v>422</v>
      </c>
      <c r="L46" s="947"/>
      <c r="M46" s="948" t="s">
        <v>422</v>
      </c>
      <c r="N46" s="947"/>
      <c r="O46" s="948" t="s">
        <v>422</v>
      </c>
      <c r="P46" s="947"/>
      <c r="Q46" s="948" t="s">
        <v>422</v>
      </c>
      <c r="R46" s="947"/>
      <c r="S46" s="948" t="s">
        <v>422</v>
      </c>
      <c r="T46" s="947"/>
      <c r="U46" s="948" t="s">
        <v>422</v>
      </c>
      <c r="V46" s="947"/>
      <c r="W46" s="948" t="s">
        <v>422</v>
      </c>
      <c r="X46" s="947"/>
      <c r="Y46" s="948" t="s">
        <v>422</v>
      </c>
      <c r="Z46" s="947"/>
      <c r="AA46" s="948" t="s">
        <v>422</v>
      </c>
      <c r="AB46" s="947"/>
      <c r="AC46" s="948" t="s">
        <v>422</v>
      </c>
      <c r="AD46" s="947"/>
      <c r="AE46" s="948" t="s">
        <v>422</v>
      </c>
      <c r="AF46" s="947"/>
      <c r="AG46" s="948" t="s">
        <v>422</v>
      </c>
      <c r="AH46" s="947"/>
      <c r="AI46" s="948" t="s">
        <v>422</v>
      </c>
      <c r="AJ46" s="947"/>
      <c r="AK46" s="948" t="s">
        <v>422</v>
      </c>
      <c r="AL46" s="947"/>
      <c r="AM46" s="948" t="s">
        <v>422</v>
      </c>
      <c r="AN46" s="947"/>
      <c r="AO46" s="948" t="s">
        <v>422</v>
      </c>
      <c r="AP46" s="947"/>
      <c r="AQ46" s="948" t="s">
        <v>422</v>
      </c>
      <c r="AR46" s="947"/>
      <c r="AS46" s="948" t="s">
        <v>422</v>
      </c>
      <c r="AT46" s="947"/>
      <c r="AU46" s="948" t="s">
        <v>422</v>
      </c>
      <c r="AV46" s="947"/>
      <c r="AW46" s="948" t="s">
        <v>422</v>
      </c>
      <c r="AX46" s="947"/>
      <c r="AY46" s="948" t="s">
        <v>422</v>
      </c>
      <c r="AZ46" s="949"/>
      <c r="BA46" s="950" t="s">
        <v>422</v>
      </c>
      <c r="BB46" s="951"/>
      <c r="BC46" s="952"/>
      <c r="BD46" s="943" t="s">
        <v>421</v>
      </c>
      <c r="BE46" s="944"/>
      <c r="BF46" s="944"/>
      <c r="BG46" s="944"/>
      <c r="BH46" s="944"/>
      <c r="BI46" s="945"/>
      <c r="BJ46" s="946" t="s">
        <v>422</v>
      </c>
      <c r="BK46" s="947"/>
      <c r="BL46" s="948" t="s">
        <v>422</v>
      </c>
      <c r="BM46" s="947"/>
      <c r="BN46" s="948" t="s">
        <v>422</v>
      </c>
      <c r="BO46" s="947"/>
      <c r="BP46" s="948" t="s">
        <v>422</v>
      </c>
      <c r="BQ46" s="947"/>
      <c r="BR46" s="948" t="s">
        <v>422</v>
      </c>
      <c r="BS46" s="947"/>
      <c r="BT46" s="948" t="s">
        <v>422</v>
      </c>
      <c r="BU46" s="947"/>
      <c r="BV46" s="948" t="s">
        <v>422</v>
      </c>
      <c r="BW46" s="947"/>
      <c r="BX46" s="948" t="s">
        <v>422</v>
      </c>
      <c r="BY46" s="947"/>
      <c r="BZ46" s="948" t="s">
        <v>422</v>
      </c>
      <c r="CA46" s="947"/>
      <c r="CB46" s="948" t="s">
        <v>422</v>
      </c>
      <c r="CC46" s="947"/>
      <c r="CD46" s="948" t="s">
        <v>422</v>
      </c>
      <c r="CE46" s="947"/>
      <c r="CF46" s="948" t="s">
        <v>422</v>
      </c>
      <c r="CG46" s="947"/>
      <c r="CH46" s="948" t="s">
        <v>422</v>
      </c>
      <c r="CI46" s="947"/>
      <c r="CJ46" s="948" t="s">
        <v>422</v>
      </c>
      <c r="CK46" s="947"/>
      <c r="CL46" s="948" t="s">
        <v>422</v>
      </c>
      <c r="CM46" s="947"/>
      <c r="CN46" s="948" t="s">
        <v>422</v>
      </c>
      <c r="CO46" s="947"/>
      <c r="CP46" s="948" t="s">
        <v>422</v>
      </c>
      <c r="CQ46" s="947"/>
      <c r="CR46" s="948" t="s">
        <v>422</v>
      </c>
      <c r="CS46" s="947"/>
      <c r="CT46" s="948" t="s">
        <v>422</v>
      </c>
      <c r="CU46" s="947"/>
      <c r="CV46" s="948" t="s">
        <v>422</v>
      </c>
      <c r="CW46" s="947"/>
      <c r="CX46" s="948" t="s">
        <v>422</v>
      </c>
      <c r="CY46" s="947"/>
      <c r="CZ46" s="948" t="s">
        <v>422</v>
      </c>
      <c r="DA46" s="947"/>
      <c r="DB46" s="948" t="s">
        <v>422</v>
      </c>
      <c r="DC46" s="949"/>
      <c r="DD46" s="950" t="s">
        <v>422</v>
      </c>
      <c r="DE46" s="951"/>
      <c r="DF46" s="952"/>
      <c r="DG46" s="943" t="s">
        <v>421</v>
      </c>
      <c r="DH46" s="944"/>
      <c r="DI46" s="944"/>
      <c r="DJ46" s="944"/>
      <c r="DK46" s="944"/>
      <c r="DL46" s="945"/>
      <c r="DM46" s="946" t="s">
        <v>422</v>
      </c>
      <c r="DN46" s="947"/>
      <c r="DO46" s="948" t="s">
        <v>422</v>
      </c>
      <c r="DP46" s="947"/>
      <c r="DQ46" s="948" t="s">
        <v>422</v>
      </c>
      <c r="DR46" s="947"/>
      <c r="DS46" s="948" t="s">
        <v>422</v>
      </c>
      <c r="DT46" s="947"/>
      <c r="DU46" s="948" t="s">
        <v>422</v>
      </c>
      <c r="DV46" s="947"/>
      <c r="DW46" s="948" t="s">
        <v>422</v>
      </c>
      <c r="DX46" s="947"/>
      <c r="DY46" s="948" t="s">
        <v>422</v>
      </c>
      <c r="DZ46" s="947"/>
      <c r="EA46" s="948" t="s">
        <v>422</v>
      </c>
      <c r="EB46" s="947"/>
      <c r="EC46" s="948" t="s">
        <v>422</v>
      </c>
      <c r="ED46" s="947"/>
      <c r="EE46" s="948" t="s">
        <v>422</v>
      </c>
      <c r="EF46" s="947"/>
      <c r="EG46" s="948" t="s">
        <v>422</v>
      </c>
      <c r="EH46" s="947"/>
      <c r="EI46" s="948" t="s">
        <v>422</v>
      </c>
      <c r="EJ46" s="947"/>
      <c r="EK46" s="948" t="s">
        <v>422</v>
      </c>
      <c r="EL46" s="947"/>
      <c r="EM46" s="948" t="s">
        <v>422</v>
      </c>
      <c r="EN46" s="947"/>
      <c r="EO46" s="948" t="s">
        <v>422</v>
      </c>
      <c r="EP46" s="947"/>
      <c r="EQ46" s="948" t="s">
        <v>422</v>
      </c>
      <c r="ER46" s="947"/>
      <c r="ES46" s="948" t="s">
        <v>422</v>
      </c>
      <c r="ET46" s="947"/>
      <c r="EU46" s="948" t="s">
        <v>422</v>
      </c>
      <c r="EV46" s="947"/>
      <c r="EW46" s="948" t="s">
        <v>422</v>
      </c>
      <c r="EX46" s="947"/>
      <c r="EY46" s="948" t="s">
        <v>422</v>
      </c>
      <c r="EZ46" s="947"/>
      <c r="FA46" s="948" t="s">
        <v>422</v>
      </c>
      <c r="FB46" s="947"/>
      <c r="FC46" s="948" t="s">
        <v>422</v>
      </c>
      <c r="FD46" s="947"/>
      <c r="FE46" s="948" t="s">
        <v>422</v>
      </c>
      <c r="FF46" s="949"/>
      <c r="FG46" s="950" t="s">
        <v>422</v>
      </c>
      <c r="FH46" s="951"/>
      <c r="FI46" s="952"/>
      <c r="FJ46" s="943" t="s">
        <v>423</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497</v>
      </c>
      <c r="GL46" s="414"/>
      <c r="GM46" s="743"/>
      <c r="GN46" s="743"/>
      <c r="GO46" s="743"/>
      <c r="GP46" s="743"/>
      <c r="GQ46" s="743"/>
      <c r="GR46" s="850"/>
      <c r="GS46" s="577"/>
      <c r="GT46" s="756"/>
      <c r="GU46" s="767" t="s">
        <v>498</v>
      </c>
      <c r="GV46" s="767"/>
      <c r="GW46" s="767"/>
      <c r="GX46" s="767"/>
      <c r="GY46" s="612"/>
      <c r="GZ46" s="768"/>
      <c r="HA46" s="744">
        <v>20.5</v>
      </c>
      <c r="HB46" s="414" t="s">
        <v>467</v>
      </c>
      <c r="HC46" s="927"/>
      <c r="HD46" s="416"/>
    </row>
    <row r="47" spans="1:219" ht="20.100000000000001" customHeight="1" thickBot="1">
      <c r="A47" s="959" t="s">
        <v>424</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3565</v>
      </c>
      <c r="Y47" s="965"/>
      <c r="Z47" s="964">
        <v>3255</v>
      </c>
      <c r="AA47" s="965"/>
      <c r="AB47" s="964">
        <v>3355</v>
      </c>
      <c r="AC47" s="965"/>
      <c r="AD47" s="964">
        <v>3398</v>
      </c>
      <c r="AE47" s="965"/>
      <c r="AF47" s="964">
        <v>3409</v>
      </c>
      <c r="AG47" s="965"/>
      <c r="AH47" s="964">
        <v>3387</v>
      </c>
      <c r="AI47" s="965"/>
      <c r="AJ47" s="964">
        <v>3293</v>
      </c>
      <c r="AK47" s="965"/>
      <c r="AL47" s="964">
        <v>3177</v>
      </c>
      <c r="AM47" s="965"/>
      <c r="AN47" s="964">
        <v>3003</v>
      </c>
      <c r="AO47" s="965"/>
      <c r="AP47" s="964">
        <v>2820</v>
      </c>
      <c r="AQ47" s="965"/>
      <c r="AR47" s="964">
        <v>0</v>
      </c>
      <c r="AS47" s="965"/>
      <c r="AT47" s="964">
        <v>0</v>
      </c>
      <c r="AU47" s="965"/>
      <c r="AV47" s="964">
        <v>0</v>
      </c>
      <c r="AW47" s="965"/>
      <c r="AX47" s="964">
        <v>0</v>
      </c>
      <c r="AY47" s="966"/>
      <c r="AZ47" s="967">
        <v>0</v>
      </c>
      <c r="BA47" s="968"/>
      <c r="BB47" s="969">
        <v>0</v>
      </c>
      <c r="BC47" s="970"/>
      <c r="BD47" s="959" t="s">
        <v>424</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3620</v>
      </c>
      <c r="CB47" s="965"/>
      <c r="CC47" s="964">
        <v>3263</v>
      </c>
      <c r="CD47" s="965"/>
      <c r="CE47" s="964">
        <v>3338</v>
      </c>
      <c r="CF47" s="965"/>
      <c r="CG47" s="964">
        <v>3343</v>
      </c>
      <c r="CH47" s="965"/>
      <c r="CI47" s="964">
        <v>3337</v>
      </c>
      <c r="CJ47" s="965"/>
      <c r="CK47" s="964">
        <v>3288</v>
      </c>
      <c r="CL47" s="965"/>
      <c r="CM47" s="964">
        <v>3207</v>
      </c>
      <c r="CN47" s="965"/>
      <c r="CO47" s="964">
        <v>3116</v>
      </c>
      <c r="CP47" s="965"/>
      <c r="CQ47" s="964">
        <v>2985</v>
      </c>
      <c r="CR47" s="965"/>
      <c r="CS47" s="964">
        <v>2809</v>
      </c>
      <c r="CT47" s="965"/>
      <c r="CU47" s="964">
        <v>0</v>
      </c>
      <c r="CV47" s="965"/>
      <c r="CW47" s="964">
        <v>0</v>
      </c>
      <c r="CX47" s="965"/>
      <c r="CY47" s="964">
        <v>0</v>
      </c>
      <c r="CZ47" s="965"/>
      <c r="DA47" s="964">
        <v>0</v>
      </c>
      <c r="DB47" s="966"/>
      <c r="DC47" s="967">
        <v>0</v>
      </c>
      <c r="DD47" s="968"/>
      <c r="DE47" s="969">
        <v>0</v>
      </c>
      <c r="DF47" s="970"/>
      <c r="DG47" s="959" t="s">
        <v>424</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3335</v>
      </c>
      <c r="EE47" s="965"/>
      <c r="EF47" s="964">
        <v>2877</v>
      </c>
      <c r="EG47" s="965"/>
      <c r="EH47" s="964">
        <v>2981</v>
      </c>
      <c r="EI47" s="965"/>
      <c r="EJ47" s="964">
        <v>3033</v>
      </c>
      <c r="EK47" s="965"/>
      <c r="EL47" s="964">
        <v>3023</v>
      </c>
      <c r="EM47" s="965"/>
      <c r="EN47" s="964">
        <v>2973</v>
      </c>
      <c r="EO47" s="965"/>
      <c r="EP47" s="964">
        <v>2900</v>
      </c>
      <c r="EQ47" s="965"/>
      <c r="ER47" s="964">
        <v>2809</v>
      </c>
      <c r="ES47" s="965"/>
      <c r="ET47" s="964">
        <v>2631</v>
      </c>
      <c r="EU47" s="965"/>
      <c r="EV47" s="964">
        <v>2466</v>
      </c>
      <c r="EW47" s="965"/>
      <c r="EX47" s="964">
        <v>0</v>
      </c>
      <c r="EY47" s="965"/>
      <c r="EZ47" s="964">
        <v>0</v>
      </c>
      <c r="FA47" s="965"/>
      <c r="FB47" s="964">
        <v>0</v>
      </c>
      <c r="FC47" s="965"/>
      <c r="FD47" s="964">
        <v>0</v>
      </c>
      <c r="FE47" s="966"/>
      <c r="FF47" s="967">
        <v>0</v>
      </c>
      <c r="FG47" s="968"/>
      <c r="FH47" s="969">
        <v>0</v>
      </c>
      <c r="FI47" s="970"/>
      <c r="FJ47" s="959" t="s">
        <v>424</v>
      </c>
      <c r="FK47" s="960"/>
      <c r="FL47" s="960"/>
      <c r="FM47" s="961"/>
      <c r="FN47" s="962"/>
      <c r="FO47" s="962"/>
      <c r="FP47" s="971"/>
      <c r="FQ47" s="972"/>
      <c r="FR47" s="964">
        <v>5708</v>
      </c>
      <c r="FS47" s="973"/>
      <c r="FT47" s="972"/>
      <c r="FU47" s="974">
        <v>5770</v>
      </c>
      <c r="FV47" s="975">
        <v>9</v>
      </c>
      <c r="FW47" s="964">
        <v>3565</v>
      </c>
      <c r="FX47" s="976">
        <v>9</v>
      </c>
      <c r="FY47" s="964">
        <v>3620</v>
      </c>
      <c r="FZ47" s="976">
        <v>9</v>
      </c>
      <c r="GA47" s="964">
        <v>3335</v>
      </c>
      <c r="GB47" s="977" t="s">
        <v>559</v>
      </c>
      <c r="GC47" s="964">
        <v>3620</v>
      </c>
      <c r="GD47" s="977" t="s">
        <v>356</v>
      </c>
      <c r="GE47" s="978">
        <v>5770</v>
      </c>
      <c r="GF47" s="681"/>
      <c r="GG47" s="979"/>
      <c r="GH47" s="979"/>
      <c r="GI47" s="979"/>
      <c r="GJ47" s="882"/>
      <c r="GK47" s="414" t="s">
        <v>499</v>
      </c>
      <c r="GL47" s="882"/>
      <c r="GM47" s="527"/>
      <c r="GN47" s="882"/>
      <c r="GO47" s="527"/>
      <c r="GP47" s="527"/>
      <c r="GQ47" s="527"/>
      <c r="GR47" s="882"/>
      <c r="GS47" s="527"/>
      <c r="GT47" s="756"/>
      <c r="GU47" s="767" t="s">
        <v>500</v>
      </c>
      <c r="GV47" s="767"/>
      <c r="GW47" s="767"/>
      <c r="GX47" s="767"/>
      <c r="GY47" s="527"/>
      <c r="GZ47" s="414"/>
      <c r="HA47" s="771">
        <v>0</v>
      </c>
      <c r="HB47" s="414"/>
      <c r="HC47" s="970"/>
      <c r="HD47" s="416"/>
    </row>
    <row r="48" spans="1:219" ht="20.100000000000001" customHeight="1">
      <c r="A48" s="980" t="s">
        <v>425</v>
      </c>
      <c r="B48" s="981" t="s">
        <v>426</v>
      </c>
      <c r="C48" s="884"/>
      <c r="D48" s="814"/>
      <c r="E48" s="814"/>
      <c r="F48" s="815"/>
      <c r="G48" s="733" t="s">
        <v>427</v>
      </c>
      <c r="H48" s="660" t="s">
        <v>393</v>
      </c>
      <c r="I48" s="735" t="s">
        <v>427</v>
      </c>
      <c r="J48" s="982" t="s">
        <v>393</v>
      </c>
      <c r="K48" s="735" t="s">
        <v>427</v>
      </c>
      <c r="L48" s="982" t="s">
        <v>393</v>
      </c>
      <c r="M48" s="735" t="s">
        <v>427</v>
      </c>
      <c r="N48" s="982" t="s">
        <v>393</v>
      </c>
      <c r="O48" s="735" t="s">
        <v>427</v>
      </c>
      <c r="P48" s="982" t="s">
        <v>393</v>
      </c>
      <c r="Q48" s="735" t="s">
        <v>427</v>
      </c>
      <c r="R48" s="982" t="s">
        <v>393</v>
      </c>
      <c r="S48" s="735" t="s">
        <v>427</v>
      </c>
      <c r="T48" s="982" t="s">
        <v>393</v>
      </c>
      <c r="U48" s="735" t="s">
        <v>427</v>
      </c>
      <c r="V48" s="982" t="s">
        <v>393</v>
      </c>
      <c r="W48" s="735" t="s">
        <v>427</v>
      </c>
      <c r="X48" s="982" t="s">
        <v>393</v>
      </c>
      <c r="Y48" s="735" t="s">
        <v>427</v>
      </c>
      <c r="Z48" s="982" t="s">
        <v>393</v>
      </c>
      <c r="AA48" s="735" t="s">
        <v>427</v>
      </c>
      <c r="AB48" s="982" t="s">
        <v>393</v>
      </c>
      <c r="AC48" s="735" t="s">
        <v>427</v>
      </c>
      <c r="AD48" s="982" t="s">
        <v>393</v>
      </c>
      <c r="AE48" s="735" t="s">
        <v>427</v>
      </c>
      <c r="AF48" s="982" t="s">
        <v>393</v>
      </c>
      <c r="AG48" s="735" t="s">
        <v>427</v>
      </c>
      <c r="AH48" s="982" t="s">
        <v>393</v>
      </c>
      <c r="AI48" s="735" t="s">
        <v>427</v>
      </c>
      <c r="AJ48" s="982" t="s">
        <v>393</v>
      </c>
      <c r="AK48" s="735" t="s">
        <v>427</v>
      </c>
      <c r="AL48" s="982" t="s">
        <v>393</v>
      </c>
      <c r="AM48" s="735" t="s">
        <v>427</v>
      </c>
      <c r="AN48" s="982" t="s">
        <v>393</v>
      </c>
      <c r="AO48" s="735" t="s">
        <v>427</v>
      </c>
      <c r="AP48" s="982" t="s">
        <v>393</v>
      </c>
      <c r="AQ48" s="735" t="s">
        <v>427</v>
      </c>
      <c r="AR48" s="982" t="s">
        <v>393</v>
      </c>
      <c r="AS48" s="735" t="s">
        <v>427</v>
      </c>
      <c r="AT48" s="982" t="s">
        <v>393</v>
      </c>
      <c r="AU48" s="735" t="s">
        <v>427</v>
      </c>
      <c r="AV48" s="982" t="s">
        <v>393</v>
      </c>
      <c r="AW48" s="735" t="s">
        <v>427</v>
      </c>
      <c r="AX48" s="982" t="s">
        <v>393</v>
      </c>
      <c r="AY48" s="735" t="s">
        <v>427</v>
      </c>
      <c r="AZ48" s="983" t="s">
        <v>393</v>
      </c>
      <c r="BA48" s="984" t="s">
        <v>427</v>
      </c>
      <c r="BB48" s="985" t="s">
        <v>393</v>
      </c>
      <c r="BC48" s="921"/>
      <c r="BD48" s="980" t="s">
        <v>425</v>
      </c>
      <c r="BE48" s="981" t="s">
        <v>426</v>
      </c>
      <c r="BF48" s="884"/>
      <c r="BG48" s="814"/>
      <c r="BH48" s="814"/>
      <c r="BI48" s="815"/>
      <c r="BJ48" s="733" t="s">
        <v>427</v>
      </c>
      <c r="BK48" s="660" t="s">
        <v>393</v>
      </c>
      <c r="BL48" s="735" t="s">
        <v>427</v>
      </c>
      <c r="BM48" s="982" t="s">
        <v>393</v>
      </c>
      <c r="BN48" s="735" t="s">
        <v>427</v>
      </c>
      <c r="BO48" s="982" t="s">
        <v>393</v>
      </c>
      <c r="BP48" s="735" t="s">
        <v>427</v>
      </c>
      <c r="BQ48" s="982" t="s">
        <v>393</v>
      </c>
      <c r="BR48" s="735" t="s">
        <v>427</v>
      </c>
      <c r="BS48" s="982" t="s">
        <v>393</v>
      </c>
      <c r="BT48" s="735" t="s">
        <v>427</v>
      </c>
      <c r="BU48" s="982" t="s">
        <v>393</v>
      </c>
      <c r="BV48" s="735" t="s">
        <v>427</v>
      </c>
      <c r="BW48" s="982" t="s">
        <v>393</v>
      </c>
      <c r="BX48" s="735" t="s">
        <v>427</v>
      </c>
      <c r="BY48" s="982" t="s">
        <v>393</v>
      </c>
      <c r="BZ48" s="735" t="s">
        <v>427</v>
      </c>
      <c r="CA48" s="982" t="s">
        <v>393</v>
      </c>
      <c r="CB48" s="735" t="s">
        <v>427</v>
      </c>
      <c r="CC48" s="982" t="s">
        <v>393</v>
      </c>
      <c r="CD48" s="735" t="s">
        <v>427</v>
      </c>
      <c r="CE48" s="982" t="s">
        <v>393</v>
      </c>
      <c r="CF48" s="735" t="s">
        <v>427</v>
      </c>
      <c r="CG48" s="982" t="s">
        <v>393</v>
      </c>
      <c r="CH48" s="735" t="s">
        <v>427</v>
      </c>
      <c r="CI48" s="982" t="s">
        <v>393</v>
      </c>
      <c r="CJ48" s="735" t="s">
        <v>427</v>
      </c>
      <c r="CK48" s="982" t="s">
        <v>393</v>
      </c>
      <c r="CL48" s="735" t="s">
        <v>427</v>
      </c>
      <c r="CM48" s="982" t="s">
        <v>393</v>
      </c>
      <c r="CN48" s="735" t="s">
        <v>427</v>
      </c>
      <c r="CO48" s="982" t="s">
        <v>393</v>
      </c>
      <c r="CP48" s="735" t="s">
        <v>427</v>
      </c>
      <c r="CQ48" s="982" t="s">
        <v>393</v>
      </c>
      <c r="CR48" s="735" t="s">
        <v>427</v>
      </c>
      <c r="CS48" s="982" t="s">
        <v>393</v>
      </c>
      <c r="CT48" s="735" t="s">
        <v>427</v>
      </c>
      <c r="CU48" s="982" t="s">
        <v>393</v>
      </c>
      <c r="CV48" s="735" t="s">
        <v>427</v>
      </c>
      <c r="CW48" s="982" t="s">
        <v>393</v>
      </c>
      <c r="CX48" s="735" t="s">
        <v>427</v>
      </c>
      <c r="CY48" s="982" t="s">
        <v>393</v>
      </c>
      <c r="CZ48" s="735" t="s">
        <v>427</v>
      </c>
      <c r="DA48" s="982" t="s">
        <v>393</v>
      </c>
      <c r="DB48" s="735" t="s">
        <v>427</v>
      </c>
      <c r="DC48" s="983" t="s">
        <v>393</v>
      </c>
      <c r="DD48" s="984" t="s">
        <v>427</v>
      </c>
      <c r="DE48" s="985" t="s">
        <v>393</v>
      </c>
      <c r="DF48" s="921"/>
      <c r="DG48" s="980" t="s">
        <v>425</v>
      </c>
      <c r="DH48" s="981" t="s">
        <v>426</v>
      </c>
      <c r="DI48" s="884"/>
      <c r="DJ48" s="814"/>
      <c r="DK48" s="814"/>
      <c r="DL48" s="815"/>
      <c r="DM48" s="733" t="s">
        <v>427</v>
      </c>
      <c r="DN48" s="660" t="s">
        <v>393</v>
      </c>
      <c r="DO48" s="735" t="s">
        <v>427</v>
      </c>
      <c r="DP48" s="982" t="s">
        <v>393</v>
      </c>
      <c r="DQ48" s="735" t="s">
        <v>427</v>
      </c>
      <c r="DR48" s="982" t="s">
        <v>393</v>
      </c>
      <c r="DS48" s="735" t="s">
        <v>427</v>
      </c>
      <c r="DT48" s="982" t="s">
        <v>393</v>
      </c>
      <c r="DU48" s="735" t="s">
        <v>427</v>
      </c>
      <c r="DV48" s="982" t="s">
        <v>393</v>
      </c>
      <c r="DW48" s="735" t="s">
        <v>427</v>
      </c>
      <c r="DX48" s="982" t="s">
        <v>393</v>
      </c>
      <c r="DY48" s="735" t="s">
        <v>427</v>
      </c>
      <c r="DZ48" s="982" t="s">
        <v>393</v>
      </c>
      <c r="EA48" s="735" t="s">
        <v>427</v>
      </c>
      <c r="EB48" s="982" t="s">
        <v>393</v>
      </c>
      <c r="EC48" s="735" t="s">
        <v>427</v>
      </c>
      <c r="ED48" s="982" t="s">
        <v>393</v>
      </c>
      <c r="EE48" s="735" t="s">
        <v>427</v>
      </c>
      <c r="EF48" s="982" t="s">
        <v>393</v>
      </c>
      <c r="EG48" s="735" t="s">
        <v>427</v>
      </c>
      <c r="EH48" s="982" t="s">
        <v>393</v>
      </c>
      <c r="EI48" s="735" t="s">
        <v>427</v>
      </c>
      <c r="EJ48" s="982" t="s">
        <v>393</v>
      </c>
      <c r="EK48" s="735" t="s">
        <v>427</v>
      </c>
      <c r="EL48" s="982" t="s">
        <v>393</v>
      </c>
      <c r="EM48" s="735" t="s">
        <v>427</v>
      </c>
      <c r="EN48" s="982" t="s">
        <v>393</v>
      </c>
      <c r="EO48" s="735" t="s">
        <v>427</v>
      </c>
      <c r="EP48" s="982" t="s">
        <v>393</v>
      </c>
      <c r="EQ48" s="735" t="s">
        <v>427</v>
      </c>
      <c r="ER48" s="982" t="s">
        <v>393</v>
      </c>
      <c r="ES48" s="735" t="s">
        <v>427</v>
      </c>
      <c r="ET48" s="982" t="s">
        <v>393</v>
      </c>
      <c r="EU48" s="735" t="s">
        <v>427</v>
      </c>
      <c r="EV48" s="982" t="s">
        <v>393</v>
      </c>
      <c r="EW48" s="735" t="s">
        <v>427</v>
      </c>
      <c r="EX48" s="982" t="s">
        <v>393</v>
      </c>
      <c r="EY48" s="735" t="s">
        <v>427</v>
      </c>
      <c r="EZ48" s="982" t="s">
        <v>393</v>
      </c>
      <c r="FA48" s="735" t="s">
        <v>427</v>
      </c>
      <c r="FB48" s="982" t="s">
        <v>393</v>
      </c>
      <c r="FC48" s="735" t="s">
        <v>427</v>
      </c>
      <c r="FD48" s="982" t="s">
        <v>393</v>
      </c>
      <c r="FE48" s="735" t="s">
        <v>427</v>
      </c>
      <c r="FF48" s="983" t="s">
        <v>393</v>
      </c>
      <c r="FG48" s="984" t="s">
        <v>427</v>
      </c>
      <c r="FH48" s="985" t="s">
        <v>393</v>
      </c>
      <c r="FI48" s="921"/>
      <c r="FJ48" s="980" t="s">
        <v>425</v>
      </c>
      <c r="FK48" s="731" t="s">
        <v>426</v>
      </c>
      <c r="FL48" s="884"/>
      <c r="FM48" s="814"/>
      <c r="FN48" s="814"/>
      <c r="FO48" s="815"/>
      <c r="FP48" s="740" t="s">
        <v>394</v>
      </c>
      <c r="FQ48" s="666" t="s">
        <v>427</v>
      </c>
      <c r="FR48" s="660" t="s">
        <v>395</v>
      </c>
      <c r="FS48" s="986" t="s">
        <v>394</v>
      </c>
      <c r="FT48" s="666" t="s">
        <v>427</v>
      </c>
      <c r="FU48" s="987" t="s">
        <v>395</v>
      </c>
      <c r="FV48" s="988"/>
      <c r="FW48" s="982" t="s">
        <v>319</v>
      </c>
      <c r="FX48" s="986"/>
      <c r="FY48" s="982" t="s">
        <v>319</v>
      </c>
      <c r="FZ48" s="986"/>
      <c r="GA48" s="982" t="s">
        <v>319</v>
      </c>
      <c r="GB48" s="986"/>
      <c r="GC48" s="982" t="s">
        <v>319</v>
      </c>
      <c r="GD48" s="986"/>
      <c r="GE48" s="989" t="s">
        <v>320</v>
      </c>
      <c r="GF48" s="681"/>
      <c r="GG48" s="652"/>
      <c r="GH48" s="652"/>
      <c r="GI48" s="652"/>
      <c r="GJ48" s="527"/>
      <c r="GK48" s="612" t="s">
        <v>501</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396</v>
      </c>
      <c r="C49" s="991"/>
      <c r="D49" s="747">
        <v>68</v>
      </c>
      <c r="E49" s="748">
        <v>2</v>
      </c>
      <c r="F49" s="992" t="s">
        <v>397</v>
      </c>
      <c r="G49" s="750"/>
      <c r="H49" s="556"/>
      <c r="I49" s="751"/>
      <c r="J49" s="556"/>
      <c r="K49" s="751"/>
      <c r="L49" s="556"/>
      <c r="M49" s="751"/>
      <c r="N49" s="556"/>
      <c r="O49" s="751"/>
      <c r="P49" s="556"/>
      <c r="Q49" s="751"/>
      <c r="R49" s="556"/>
      <c r="S49" s="751"/>
      <c r="T49" s="556"/>
      <c r="U49" s="751"/>
      <c r="V49" s="556"/>
      <c r="W49" s="751">
        <v>1</v>
      </c>
      <c r="X49" s="556">
        <v>136</v>
      </c>
      <c r="Y49" s="751">
        <v>1</v>
      </c>
      <c r="Z49" s="556">
        <v>136</v>
      </c>
      <c r="AA49" s="751">
        <v>1</v>
      </c>
      <c r="AB49" s="556">
        <v>136</v>
      </c>
      <c r="AC49" s="751">
        <v>1</v>
      </c>
      <c r="AD49" s="556">
        <v>136</v>
      </c>
      <c r="AE49" s="751">
        <v>1</v>
      </c>
      <c r="AF49" s="556">
        <v>136</v>
      </c>
      <c r="AG49" s="751">
        <v>1</v>
      </c>
      <c r="AH49" s="556">
        <v>136</v>
      </c>
      <c r="AI49" s="751">
        <v>1</v>
      </c>
      <c r="AJ49" s="556">
        <v>136</v>
      </c>
      <c r="AK49" s="751">
        <v>1</v>
      </c>
      <c r="AL49" s="556">
        <v>136</v>
      </c>
      <c r="AM49" s="751">
        <v>1</v>
      </c>
      <c r="AN49" s="556">
        <v>136</v>
      </c>
      <c r="AO49" s="751">
        <v>1</v>
      </c>
      <c r="AP49" s="556">
        <v>136</v>
      </c>
      <c r="AQ49" s="751"/>
      <c r="AR49" s="556"/>
      <c r="AS49" s="751"/>
      <c r="AT49" s="556"/>
      <c r="AU49" s="751"/>
      <c r="AV49" s="556"/>
      <c r="AW49" s="751"/>
      <c r="AX49" s="556"/>
      <c r="AY49" s="993"/>
      <c r="AZ49" s="994"/>
      <c r="BA49" s="995"/>
      <c r="BB49" s="996"/>
      <c r="BC49" s="927"/>
      <c r="BD49" s="990"/>
      <c r="BE49" s="745" t="s">
        <v>396</v>
      </c>
      <c r="BF49" s="991"/>
      <c r="BG49" s="747"/>
      <c r="BH49" s="748">
        <v>2</v>
      </c>
      <c r="BI49" s="992" t="s">
        <v>397</v>
      </c>
      <c r="BJ49" s="750"/>
      <c r="BK49" s="556"/>
      <c r="BL49" s="751"/>
      <c r="BM49" s="556"/>
      <c r="BN49" s="751"/>
      <c r="BO49" s="556"/>
      <c r="BP49" s="751"/>
      <c r="BQ49" s="556"/>
      <c r="BR49" s="751"/>
      <c r="BS49" s="556"/>
      <c r="BT49" s="751"/>
      <c r="BU49" s="556"/>
      <c r="BV49" s="751"/>
      <c r="BW49" s="556"/>
      <c r="BX49" s="751"/>
      <c r="BY49" s="556"/>
      <c r="BZ49" s="751">
        <v>1</v>
      </c>
      <c r="CA49" s="556">
        <v>136</v>
      </c>
      <c r="CB49" s="751">
        <v>1</v>
      </c>
      <c r="CC49" s="556">
        <v>136</v>
      </c>
      <c r="CD49" s="751">
        <v>1</v>
      </c>
      <c r="CE49" s="556">
        <v>136</v>
      </c>
      <c r="CF49" s="751">
        <v>1</v>
      </c>
      <c r="CG49" s="556">
        <v>136</v>
      </c>
      <c r="CH49" s="751">
        <v>1</v>
      </c>
      <c r="CI49" s="556">
        <v>136</v>
      </c>
      <c r="CJ49" s="751">
        <v>1</v>
      </c>
      <c r="CK49" s="556">
        <v>136</v>
      </c>
      <c r="CL49" s="751">
        <v>1</v>
      </c>
      <c r="CM49" s="556">
        <v>136</v>
      </c>
      <c r="CN49" s="751">
        <v>1</v>
      </c>
      <c r="CO49" s="556">
        <v>136</v>
      </c>
      <c r="CP49" s="751">
        <v>1</v>
      </c>
      <c r="CQ49" s="556">
        <v>136</v>
      </c>
      <c r="CR49" s="751">
        <v>1</v>
      </c>
      <c r="CS49" s="556">
        <v>136</v>
      </c>
      <c r="CT49" s="751"/>
      <c r="CU49" s="556"/>
      <c r="CV49" s="751"/>
      <c r="CW49" s="556"/>
      <c r="CX49" s="751"/>
      <c r="CY49" s="556"/>
      <c r="CZ49" s="751"/>
      <c r="DA49" s="556"/>
      <c r="DB49" s="993"/>
      <c r="DC49" s="994"/>
      <c r="DD49" s="995"/>
      <c r="DE49" s="996"/>
      <c r="DF49" s="927"/>
      <c r="DG49" s="990"/>
      <c r="DH49" s="745" t="s">
        <v>396</v>
      </c>
      <c r="DI49" s="991"/>
      <c r="DJ49" s="747"/>
      <c r="DK49" s="748">
        <v>2</v>
      </c>
      <c r="DL49" s="992" t="s">
        <v>397</v>
      </c>
      <c r="DM49" s="750"/>
      <c r="DN49" s="556"/>
      <c r="DO49" s="751"/>
      <c r="DP49" s="556"/>
      <c r="DQ49" s="751"/>
      <c r="DR49" s="556"/>
      <c r="DS49" s="751"/>
      <c r="DT49" s="556"/>
      <c r="DU49" s="751"/>
      <c r="DV49" s="556"/>
      <c r="DW49" s="751"/>
      <c r="DX49" s="556"/>
      <c r="DY49" s="751"/>
      <c r="DZ49" s="556"/>
      <c r="EA49" s="751"/>
      <c r="EB49" s="556"/>
      <c r="EC49" s="751">
        <v>1</v>
      </c>
      <c r="ED49" s="556">
        <v>136</v>
      </c>
      <c r="EE49" s="751">
        <v>1</v>
      </c>
      <c r="EF49" s="556">
        <v>136</v>
      </c>
      <c r="EG49" s="751">
        <v>1</v>
      </c>
      <c r="EH49" s="556">
        <v>136</v>
      </c>
      <c r="EI49" s="751">
        <v>1</v>
      </c>
      <c r="EJ49" s="556">
        <v>136</v>
      </c>
      <c r="EK49" s="751">
        <v>1</v>
      </c>
      <c r="EL49" s="556">
        <v>136</v>
      </c>
      <c r="EM49" s="751">
        <v>1</v>
      </c>
      <c r="EN49" s="556">
        <v>136</v>
      </c>
      <c r="EO49" s="751">
        <v>1</v>
      </c>
      <c r="EP49" s="556">
        <v>136</v>
      </c>
      <c r="EQ49" s="751">
        <v>1</v>
      </c>
      <c r="ER49" s="556">
        <v>136</v>
      </c>
      <c r="ES49" s="751">
        <v>1</v>
      </c>
      <c r="ET49" s="556">
        <v>136</v>
      </c>
      <c r="EU49" s="751">
        <v>1</v>
      </c>
      <c r="EV49" s="556">
        <v>136</v>
      </c>
      <c r="EW49" s="751"/>
      <c r="EX49" s="556"/>
      <c r="EY49" s="751"/>
      <c r="EZ49" s="556"/>
      <c r="FA49" s="751"/>
      <c r="FB49" s="556"/>
      <c r="FC49" s="751"/>
      <c r="FD49" s="556"/>
      <c r="FE49" s="993"/>
      <c r="FF49" s="994"/>
      <c r="FG49" s="995"/>
      <c r="FH49" s="996"/>
      <c r="FI49" s="927"/>
      <c r="FJ49" s="990"/>
      <c r="FK49" s="745" t="s">
        <v>396</v>
      </c>
      <c r="FL49" s="991"/>
      <c r="FM49" s="752"/>
      <c r="FN49" s="748">
        <v>0</v>
      </c>
      <c r="FO49" s="992"/>
      <c r="FP49" s="678"/>
      <c r="FQ49" s="753"/>
      <c r="FR49" s="584">
        <v>0</v>
      </c>
      <c r="FS49" s="754"/>
      <c r="FT49" s="753"/>
      <c r="FU49" s="564">
        <v>0</v>
      </c>
      <c r="FV49" s="997" t="s">
        <v>327</v>
      </c>
      <c r="FW49" s="998"/>
      <c r="FX49" s="999" t="s">
        <v>328</v>
      </c>
      <c r="FY49" s="1000"/>
      <c r="FZ49" s="1001" t="s">
        <v>329</v>
      </c>
      <c r="GA49" s="1002"/>
      <c r="GB49" s="1003" t="s">
        <v>330</v>
      </c>
      <c r="GC49" s="1004"/>
      <c r="GD49" s="1003" t="s">
        <v>331</v>
      </c>
      <c r="GE49" s="1005"/>
      <c r="GF49" s="681"/>
      <c r="GG49" s="599"/>
      <c r="GH49" s="599"/>
      <c r="GI49" s="599"/>
      <c r="GJ49" s="577"/>
      <c r="GK49" s="414" t="s">
        <v>502</v>
      </c>
      <c r="GL49" s="577"/>
      <c r="GM49" s="414"/>
      <c r="GN49" s="577"/>
      <c r="GO49" s="414"/>
      <c r="GP49" s="414"/>
      <c r="GQ49" s="414"/>
      <c r="GR49" s="577"/>
      <c r="GS49" s="527"/>
      <c r="GT49" s="850"/>
      <c r="GU49" s="527" t="s">
        <v>480</v>
      </c>
      <c r="GV49" s="612"/>
      <c r="GW49" s="527"/>
      <c r="GX49" s="612"/>
      <c r="GY49" s="527"/>
      <c r="GZ49" s="392"/>
      <c r="HA49" s="577"/>
      <c r="HB49" s="392"/>
      <c r="HC49" s="1006"/>
      <c r="HD49" s="416"/>
    </row>
    <row r="50" spans="1:212" ht="20.100000000000001" customHeight="1">
      <c r="A50" s="990"/>
      <c r="B50" s="757" t="s">
        <v>403</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403</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403</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403</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503</v>
      </c>
      <c r="GL50" s="577"/>
      <c r="GM50" s="414"/>
      <c r="GN50" s="577"/>
      <c r="GO50" s="414"/>
      <c r="GP50" s="414"/>
      <c r="GQ50" s="414"/>
      <c r="GR50" s="577"/>
      <c r="GS50" s="942"/>
      <c r="GT50" s="926"/>
      <c r="GU50" s="577" t="s">
        <v>599</v>
      </c>
      <c r="GV50" s="577"/>
      <c r="GW50" s="577"/>
      <c r="GX50" s="577"/>
      <c r="GY50" s="612"/>
      <c r="GZ50" s="576"/>
      <c r="HA50" s="612">
        <v>29.8</v>
      </c>
      <c r="HB50" s="576" t="s">
        <v>462</v>
      </c>
      <c r="HC50" s="1027"/>
      <c r="HD50" s="416"/>
    </row>
    <row r="51" spans="1:212" ht="20.100000000000001" customHeight="1" thickBot="1">
      <c r="A51" s="1028"/>
      <c r="B51" s="463" t="s">
        <v>428</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428</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428</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428</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394</v>
      </c>
      <c r="GM51" s="1036" t="s">
        <v>505</v>
      </c>
      <c r="GN51" s="1037" t="s">
        <v>506</v>
      </c>
      <c r="GO51" s="1038" t="s">
        <v>507</v>
      </c>
      <c r="GP51" s="1038" t="s">
        <v>486</v>
      </c>
      <c r="GQ51" s="1039" t="s">
        <v>487</v>
      </c>
      <c r="GR51" s="726"/>
      <c r="GS51" s="942"/>
      <c r="GT51" s="756"/>
      <c r="GU51" s="577" t="s">
        <v>508</v>
      </c>
      <c r="GV51" s="577"/>
      <c r="GW51" s="577"/>
      <c r="GX51" s="577"/>
      <c r="GY51" s="414"/>
      <c r="GZ51" s="1040"/>
      <c r="HA51" s="612">
        <v>29.8</v>
      </c>
      <c r="HB51" s="576" t="s">
        <v>462</v>
      </c>
      <c r="HC51" s="1041"/>
      <c r="HD51" s="416"/>
    </row>
    <row r="52" spans="1:212" ht="20.100000000000001" customHeight="1" thickBot="1">
      <c r="A52" s="1042" t="s">
        <v>429</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136</v>
      </c>
      <c r="Y52" s="1048"/>
      <c r="Z52" s="1047">
        <v>136</v>
      </c>
      <c r="AA52" s="1048"/>
      <c r="AB52" s="1047">
        <v>136</v>
      </c>
      <c r="AC52" s="1048"/>
      <c r="AD52" s="1047">
        <v>136</v>
      </c>
      <c r="AE52" s="1048"/>
      <c r="AF52" s="1047">
        <v>136</v>
      </c>
      <c r="AG52" s="1048"/>
      <c r="AH52" s="1047">
        <v>136</v>
      </c>
      <c r="AI52" s="1048"/>
      <c r="AJ52" s="1047">
        <v>136</v>
      </c>
      <c r="AK52" s="1048"/>
      <c r="AL52" s="1047">
        <v>136</v>
      </c>
      <c r="AM52" s="1048"/>
      <c r="AN52" s="1047">
        <v>136</v>
      </c>
      <c r="AO52" s="1048"/>
      <c r="AP52" s="1047">
        <v>136</v>
      </c>
      <c r="AQ52" s="1048"/>
      <c r="AR52" s="1047">
        <v>0</v>
      </c>
      <c r="AS52" s="1048"/>
      <c r="AT52" s="1047">
        <v>0</v>
      </c>
      <c r="AU52" s="1048"/>
      <c r="AV52" s="1047">
        <v>0</v>
      </c>
      <c r="AW52" s="1048"/>
      <c r="AX52" s="1047">
        <v>0</v>
      </c>
      <c r="AY52" s="1049"/>
      <c r="AZ52" s="1050">
        <v>0</v>
      </c>
      <c r="BA52" s="1051"/>
      <c r="BB52" s="1052">
        <v>0</v>
      </c>
      <c r="BC52" s="970"/>
      <c r="BD52" s="1042" t="s">
        <v>429</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136</v>
      </c>
      <c r="CB52" s="1048"/>
      <c r="CC52" s="1047">
        <v>136</v>
      </c>
      <c r="CD52" s="1048"/>
      <c r="CE52" s="1047">
        <v>136</v>
      </c>
      <c r="CF52" s="1048"/>
      <c r="CG52" s="1047">
        <v>136</v>
      </c>
      <c r="CH52" s="1048"/>
      <c r="CI52" s="1047">
        <v>136</v>
      </c>
      <c r="CJ52" s="1048"/>
      <c r="CK52" s="1047">
        <v>136</v>
      </c>
      <c r="CL52" s="1048"/>
      <c r="CM52" s="1047">
        <v>136</v>
      </c>
      <c r="CN52" s="1048"/>
      <c r="CO52" s="1047">
        <v>136</v>
      </c>
      <c r="CP52" s="1048"/>
      <c r="CQ52" s="1047">
        <v>136</v>
      </c>
      <c r="CR52" s="1048"/>
      <c r="CS52" s="1047">
        <v>136</v>
      </c>
      <c r="CT52" s="1048"/>
      <c r="CU52" s="1047">
        <v>0</v>
      </c>
      <c r="CV52" s="1048"/>
      <c r="CW52" s="1047">
        <v>0</v>
      </c>
      <c r="CX52" s="1048"/>
      <c r="CY52" s="1047">
        <v>0</v>
      </c>
      <c r="CZ52" s="1048"/>
      <c r="DA52" s="1047">
        <v>0</v>
      </c>
      <c r="DB52" s="1049"/>
      <c r="DC52" s="1050">
        <v>0</v>
      </c>
      <c r="DD52" s="1051"/>
      <c r="DE52" s="1052">
        <v>0</v>
      </c>
      <c r="DF52" s="970"/>
      <c r="DG52" s="1042" t="s">
        <v>429</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136</v>
      </c>
      <c r="EE52" s="1048"/>
      <c r="EF52" s="1047">
        <v>136</v>
      </c>
      <c r="EG52" s="1048"/>
      <c r="EH52" s="1047">
        <v>136</v>
      </c>
      <c r="EI52" s="1048"/>
      <c r="EJ52" s="1047">
        <v>136</v>
      </c>
      <c r="EK52" s="1048"/>
      <c r="EL52" s="1047">
        <v>136</v>
      </c>
      <c r="EM52" s="1048"/>
      <c r="EN52" s="1047">
        <v>136</v>
      </c>
      <c r="EO52" s="1048"/>
      <c r="EP52" s="1047">
        <v>136</v>
      </c>
      <c r="EQ52" s="1048"/>
      <c r="ER52" s="1047">
        <v>136</v>
      </c>
      <c r="ES52" s="1048"/>
      <c r="ET52" s="1047">
        <v>136</v>
      </c>
      <c r="EU52" s="1048"/>
      <c r="EV52" s="1047">
        <v>136</v>
      </c>
      <c r="EW52" s="1048"/>
      <c r="EX52" s="1047">
        <v>0</v>
      </c>
      <c r="EY52" s="1048"/>
      <c r="EZ52" s="1047">
        <v>0</v>
      </c>
      <c r="FA52" s="1048"/>
      <c r="FB52" s="1047">
        <v>0</v>
      </c>
      <c r="FC52" s="1048"/>
      <c r="FD52" s="1047">
        <v>0</v>
      </c>
      <c r="FE52" s="1049"/>
      <c r="FF52" s="1050">
        <v>0</v>
      </c>
      <c r="FG52" s="1051"/>
      <c r="FH52" s="1052">
        <v>0</v>
      </c>
      <c r="FI52" s="970"/>
      <c r="FJ52" s="1042" t="s">
        <v>429</v>
      </c>
      <c r="FK52" s="1043"/>
      <c r="FL52" s="1044"/>
      <c r="FM52" s="1044"/>
      <c r="FN52" s="1045"/>
      <c r="FO52" s="1044"/>
      <c r="FP52" s="1053"/>
      <c r="FQ52" s="1054"/>
      <c r="FR52" s="1047">
        <v>0</v>
      </c>
      <c r="FS52" s="1055"/>
      <c r="FT52" s="1054"/>
      <c r="FU52" s="1056">
        <v>0</v>
      </c>
      <c r="FV52" s="1057">
        <v>9</v>
      </c>
      <c r="FW52" s="1058">
        <v>136</v>
      </c>
      <c r="FX52" s="1059">
        <v>9</v>
      </c>
      <c r="FY52" s="1058">
        <v>136</v>
      </c>
      <c r="FZ52" s="1059">
        <v>9</v>
      </c>
      <c r="GA52" s="1058">
        <v>136</v>
      </c>
      <c r="GB52" s="1060" t="s">
        <v>559</v>
      </c>
      <c r="GC52" s="1061">
        <v>136</v>
      </c>
      <c r="GD52" s="1060" t="s">
        <v>356</v>
      </c>
      <c r="GE52" s="1062">
        <v>0</v>
      </c>
      <c r="GF52" s="681"/>
      <c r="GG52" s="979"/>
      <c r="GH52" s="979"/>
      <c r="GI52" s="979"/>
      <c r="GJ52" s="925"/>
      <c r="GK52" s="726"/>
      <c r="GL52" s="1063"/>
      <c r="GM52" s="1064"/>
      <c r="GN52" s="1064"/>
      <c r="GO52" s="1065"/>
      <c r="GP52" s="1065"/>
      <c r="GQ52" s="1066"/>
      <c r="GR52" s="942"/>
      <c r="GS52" s="882"/>
      <c r="GT52" s="850"/>
      <c r="GU52" s="527" t="s">
        <v>482</v>
      </c>
      <c r="GV52" s="726"/>
      <c r="GW52" s="925"/>
      <c r="GX52" s="726"/>
      <c r="GY52" s="414"/>
      <c r="GZ52" s="1067"/>
      <c r="HA52" s="942"/>
      <c r="HB52" s="1067"/>
      <c r="HC52" s="559"/>
      <c r="HD52" s="416"/>
    </row>
    <row r="53" spans="1:212" ht="20.100000000000001" customHeight="1" thickTop="1">
      <c r="A53" s="1068" t="s">
        <v>430</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3701</v>
      </c>
      <c r="Y53" s="1075"/>
      <c r="Z53" s="1074">
        <v>3391</v>
      </c>
      <c r="AA53" s="1075"/>
      <c r="AB53" s="1074">
        <v>3491</v>
      </c>
      <c r="AC53" s="1075"/>
      <c r="AD53" s="1074">
        <v>3534</v>
      </c>
      <c r="AE53" s="1075"/>
      <c r="AF53" s="1074">
        <v>3545</v>
      </c>
      <c r="AG53" s="1075"/>
      <c r="AH53" s="1074">
        <v>3523</v>
      </c>
      <c r="AI53" s="1075"/>
      <c r="AJ53" s="1074">
        <v>3429</v>
      </c>
      <c r="AK53" s="1075"/>
      <c r="AL53" s="1074">
        <v>3313</v>
      </c>
      <c r="AM53" s="1075"/>
      <c r="AN53" s="1074">
        <v>3139</v>
      </c>
      <c r="AO53" s="1075"/>
      <c r="AP53" s="1074">
        <v>2956</v>
      </c>
      <c r="AQ53" s="1075"/>
      <c r="AR53" s="1074">
        <v>0</v>
      </c>
      <c r="AS53" s="1075"/>
      <c r="AT53" s="1074">
        <v>0</v>
      </c>
      <c r="AU53" s="1075"/>
      <c r="AV53" s="1074">
        <v>0</v>
      </c>
      <c r="AW53" s="1075"/>
      <c r="AX53" s="1074">
        <v>0</v>
      </c>
      <c r="AY53" s="1076"/>
      <c r="AZ53" s="1077">
        <v>0</v>
      </c>
      <c r="BA53" s="1078"/>
      <c r="BB53" s="1079">
        <v>0</v>
      </c>
      <c r="BC53" s="970"/>
      <c r="BD53" s="1068" t="s">
        <v>430</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3756</v>
      </c>
      <c r="CB53" s="1075"/>
      <c r="CC53" s="1074">
        <v>3399</v>
      </c>
      <c r="CD53" s="1075"/>
      <c r="CE53" s="1074">
        <v>3474</v>
      </c>
      <c r="CF53" s="1075"/>
      <c r="CG53" s="1074">
        <v>3479</v>
      </c>
      <c r="CH53" s="1075"/>
      <c r="CI53" s="1074">
        <v>3473</v>
      </c>
      <c r="CJ53" s="1075"/>
      <c r="CK53" s="1074">
        <v>3424</v>
      </c>
      <c r="CL53" s="1075"/>
      <c r="CM53" s="1074">
        <v>3343</v>
      </c>
      <c r="CN53" s="1075"/>
      <c r="CO53" s="1074">
        <v>3252</v>
      </c>
      <c r="CP53" s="1075"/>
      <c r="CQ53" s="1074">
        <v>3121</v>
      </c>
      <c r="CR53" s="1075"/>
      <c r="CS53" s="1074">
        <v>2945</v>
      </c>
      <c r="CT53" s="1075"/>
      <c r="CU53" s="1074">
        <v>0</v>
      </c>
      <c r="CV53" s="1075"/>
      <c r="CW53" s="1074">
        <v>0</v>
      </c>
      <c r="CX53" s="1075"/>
      <c r="CY53" s="1074">
        <v>0</v>
      </c>
      <c r="CZ53" s="1075"/>
      <c r="DA53" s="1074">
        <v>0</v>
      </c>
      <c r="DB53" s="1076"/>
      <c r="DC53" s="1077">
        <v>0</v>
      </c>
      <c r="DD53" s="1078"/>
      <c r="DE53" s="1079">
        <v>0</v>
      </c>
      <c r="DF53" s="970"/>
      <c r="DG53" s="1068" t="s">
        <v>430</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3471</v>
      </c>
      <c r="EE53" s="1075"/>
      <c r="EF53" s="1074">
        <v>3013</v>
      </c>
      <c r="EG53" s="1075"/>
      <c r="EH53" s="1074">
        <v>3117</v>
      </c>
      <c r="EI53" s="1075"/>
      <c r="EJ53" s="1074">
        <v>3169</v>
      </c>
      <c r="EK53" s="1075"/>
      <c r="EL53" s="1074">
        <v>3159</v>
      </c>
      <c r="EM53" s="1075"/>
      <c r="EN53" s="1074">
        <v>3109</v>
      </c>
      <c r="EO53" s="1075"/>
      <c r="EP53" s="1074">
        <v>3036</v>
      </c>
      <c r="EQ53" s="1075"/>
      <c r="ER53" s="1074">
        <v>2945</v>
      </c>
      <c r="ES53" s="1075"/>
      <c r="ET53" s="1074">
        <v>2767</v>
      </c>
      <c r="EU53" s="1075"/>
      <c r="EV53" s="1074">
        <v>2602</v>
      </c>
      <c r="EW53" s="1075"/>
      <c r="EX53" s="1074">
        <v>0</v>
      </c>
      <c r="EY53" s="1075"/>
      <c r="EZ53" s="1074">
        <v>0</v>
      </c>
      <c r="FA53" s="1075"/>
      <c r="FB53" s="1074">
        <v>0</v>
      </c>
      <c r="FC53" s="1075"/>
      <c r="FD53" s="1074">
        <v>0</v>
      </c>
      <c r="FE53" s="1076"/>
      <c r="FF53" s="1077">
        <v>0</v>
      </c>
      <c r="FG53" s="1078"/>
      <c r="FH53" s="1079">
        <v>0</v>
      </c>
      <c r="FI53" s="970"/>
      <c r="FJ53" s="1068" t="s">
        <v>430</v>
      </c>
      <c r="FK53" s="1069"/>
      <c r="FL53" s="1070"/>
      <c r="FM53" s="1070"/>
      <c r="FN53" s="1071"/>
      <c r="FO53" s="1072"/>
      <c r="FP53" s="1080"/>
      <c r="FQ53" s="1081"/>
      <c r="FR53" s="1074">
        <v>5708</v>
      </c>
      <c r="FS53" s="1082"/>
      <c r="FT53" s="1081"/>
      <c r="FU53" s="1083">
        <v>5770</v>
      </c>
      <c r="FV53" s="1084">
        <v>9</v>
      </c>
      <c r="FW53" s="1085">
        <v>3701</v>
      </c>
      <c r="FX53" s="1086">
        <v>9</v>
      </c>
      <c r="FY53" s="1085">
        <v>3756</v>
      </c>
      <c r="FZ53" s="1086">
        <v>9</v>
      </c>
      <c r="GA53" s="1085">
        <v>3471</v>
      </c>
      <c r="GB53" s="1087" t="s">
        <v>559</v>
      </c>
      <c r="GC53" s="1085">
        <v>3756</v>
      </c>
      <c r="GD53" s="1087" t="s">
        <v>356</v>
      </c>
      <c r="GE53" s="1088">
        <v>5770</v>
      </c>
      <c r="GF53" s="681"/>
      <c r="GG53" s="979"/>
      <c r="GH53" s="979"/>
      <c r="GI53" s="979"/>
      <c r="GJ53" s="942"/>
      <c r="GK53" s="414"/>
      <c r="GL53" s="1089">
        <v>10</v>
      </c>
      <c r="GM53" s="1090">
        <v>1</v>
      </c>
      <c r="GN53" s="1091">
        <v>0.92</v>
      </c>
      <c r="GO53" s="1092">
        <v>6.3</v>
      </c>
      <c r="GP53" s="1092">
        <v>10</v>
      </c>
      <c r="GQ53" s="1093">
        <v>16.3</v>
      </c>
      <c r="GR53" s="577"/>
      <c r="GS53" s="480"/>
      <c r="GT53" s="850"/>
      <c r="GU53" s="577" t="s">
        <v>600</v>
      </c>
      <c r="GV53" s="577"/>
      <c r="GW53" s="577"/>
      <c r="GX53" s="577"/>
      <c r="GY53" s="414"/>
      <c r="GZ53" s="410"/>
      <c r="HA53" s="612">
        <v>25.2</v>
      </c>
      <c r="HB53" s="576" t="s">
        <v>462</v>
      </c>
      <c r="HC53" s="792"/>
      <c r="HD53" s="416"/>
    </row>
    <row r="54" spans="1:212" ht="20.100000000000001" customHeight="1">
      <c r="A54" s="1094" t="s">
        <v>431</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69.400000000000006</v>
      </c>
      <c r="Y54" s="1102"/>
      <c r="Z54" s="1101">
        <v>63.6</v>
      </c>
      <c r="AA54" s="1102"/>
      <c r="AB54" s="1101">
        <v>65.5</v>
      </c>
      <c r="AC54" s="1102"/>
      <c r="AD54" s="1101">
        <v>66.3</v>
      </c>
      <c r="AE54" s="1102"/>
      <c r="AF54" s="1101">
        <v>66.5</v>
      </c>
      <c r="AG54" s="1102"/>
      <c r="AH54" s="1101">
        <v>66.099999999999994</v>
      </c>
      <c r="AI54" s="1102"/>
      <c r="AJ54" s="1101">
        <v>64.3</v>
      </c>
      <c r="AK54" s="1102"/>
      <c r="AL54" s="1101">
        <v>62.2</v>
      </c>
      <c r="AM54" s="1102"/>
      <c r="AN54" s="1101">
        <v>58.9</v>
      </c>
      <c r="AO54" s="1102"/>
      <c r="AP54" s="1101">
        <v>55.5</v>
      </c>
      <c r="AQ54" s="1102"/>
      <c r="AR54" s="1101">
        <v>0</v>
      </c>
      <c r="AS54" s="1102"/>
      <c r="AT54" s="1101">
        <v>0</v>
      </c>
      <c r="AU54" s="1102"/>
      <c r="AV54" s="1101">
        <v>0</v>
      </c>
      <c r="AW54" s="1102"/>
      <c r="AX54" s="1101">
        <v>0</v>
      </c>
      <c r="AY54" s="1102"/>
      <c r="AZ54" s="1101">
        <v>0</v>
      </c>
      <c r="BA54" s="1102"/>
      <c r="BB54" s="1103">
        <v>0</v>
      </c>
      <c r="BC54" s="1006"/>
      <c r="BD54" s="1094" t="s">
        <v>431</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70.5</v>
      </c>
      <c r="CB54" s="1102"/>
      <c r="CC54" s="1101">
        <v>63.8</v>
      </c>
      <c r="CD54" s="1102"/>
      <c r="CE54" s="1101">
        <v>65.2</v>
      </c>
      <c r="CF54" s="1102"/>
      <c r="CG54" s="1101">
        <v>65.3</v>
      </c>
      <c r="CH54" s="1102"/>
      <c r="CI54" s="1101">
        <v>65.2</v>
      </c>
      <c r="CJ54" s="1102"/>
      <c r="CK54" s="1101">
        <v>64.2</v>
      </c>
      <c r="CL54" s="1102"/>
      <c r="CM54" s="1101">
        <v>62.7</v>
      </c>
      <c r="CN54" s="1102"/>
      <c r="CO54" s="1101">
        <v>61</v>
      </c>
      <c r="CP54" s="1102"/>
      <c r="CQ54" s="1101">
        <v>58.6</v>
      </c>
      <c r="CR54" s="1102"/>
      <c r="CS54" s="1101">
        <v>55.3</v>
      </c>
      <c r="CT54" s="1102"/>
      <c r="CU54" s="1101">
        <v>0</v>
      </c>
      <c r="CV54" s="1102"/>
      <c r="CW54" s="1101">
        <v>0</v>
      </c>
      <c r="CX54" s="1102"/>
      <c r="CY54" s="1101">
        <v>0</v>
      </c>
      <c r="CZ54" s="1102"/>
      <c r="DA54" s="1101">
        <v>0</v>
      </c>
      <c r="DB54" s="1102"/>
      <c r="DC54" s="1101">
        <v>0</v>
      </c>
      <c r="DD54" s="1102"/>
      <c r="DE54" s="1103">
        <v>0</v>
      </c>
      <c r="DF54" s="1006"/>
      <c r="DG54" s="1094" t="s">
        <v>431</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65.099999999999994</v>
      </c>
      <c r="EE54" s="1102"/>
      <c r="EF54" s="1101">
        <v>56.5</v>
      </c>
      <c r="EG54" s="1102"/>
      <c r="EH54" s="1101">
        <v>58.5</v>
      </c>
      <c r="EI54" s="1102"/>
      <c r="EJ54" s="1101">
        <v>59.5</v>
      </c>
      <c r="EK54" s="1102"/>
      <c r="EL54" s="1101">
        <v>59.3</v>
      </c>
      <c r="EM54" s="1102"/>
      <c r="EN54" s="1101">
        <v>58.3</v>
      </c>
      <c r="EO54" s="1102"/>
      <c r="EP54" s="1101">
        <v>57</v>
      </c>
      <c r="EQ54" s="1102"/>
      <c r="ER54" s="1101">
        <v>55.3</v>
      </c>
      <c r="ES54" s="1102"/>
      <c r="ET54" s="1101">
        <v>51.9</v>
      </c>
      <c r="EU54" s="1102"/>
      <c r="EV54" s="1101">
        <v>48.8</v>
      </c>
      <c r="EW54" s="1102"/>
      <c r="EX54" s="1101">
        <v>0</v>
      </c>
      <c r="EY54" s="1102"/>
      <c r="EZ54" s="1101">
        <v>0</v>
      </c>
      <c r="FA54" s="1102"/>
      <c r="FB54" s="1101">
        <v>0</v>
      </c>
      <c r="FC54" s="1102"/>
      <c r="FD54" s="1101">
        <v>0</v>
      </c>
      <c r="FE54" s="1102"/>
      <c r="FF54" s="1101">
        <v>0</v>
      </c>
      <c r="FG54" s="1102"/>
      <c r="FH54" s="1103">
        <v>0</v>
      </c>
      <c r="FI54" s="1006"/>
      <c r="FJ54" s="1094" t="s">
        <v>431</v>
      </c>
      <c r="FK54" s="1095"/>
      <c r="FL54" s="1096"/>
      <c r="FM54" s="1097"/>
      <c r="FN54" s="1098"/>
      <c r="FO54" s="1099"/>
      <c r="FP54" s="1104"/>
      <c r="FQ54" s="1102"/>
      <c r="FR54" s="1101">
        <v>107.1</v>
      </c>
      <c r="FS54" s="1105"/>
      <c r="FT54" s="1102"/>
      <c r="FU54" s="1106">
        <v>108.3</v>
      </c>
      <c r="FV54" s="1105"/>
      <c r="FW54" s="1101">
        <f>IF(面積=0,0,ROUND(FW53/面積,1))</f>
        <v>69.400000000000006</v>
      </c>
      <c r="FX54" s="1105"/>
      <c r="FY54" s="1101">
        <f>IF(面積=0,0,ROUND(FY53/面積,1))</f>
        <v>70.5</v>
      </c>
      <c r="FZ54" s="1105"/>
      <c r="GA54" s="1101">
        <f>IF(面積=0,0,ROUND(GA53/面積,1))</f>
        <v>65.099999999999994</v>
      </c>
      <c r="GB54" s="1105"/>
      <c r="GC54" s="1101">
        <f>IF(面積=0,0,ROUND(GC53/面積,1))</f>
        <v>70.5</v>
      </c>
      <c r="GD54" s="1105"/>
      <c r="GE54" s="1103">
        <f>IF(面積=0,0,ROUND(GE53/面積,1))</f>
        <v>108.3</v>
      </c>
      <c r="GF54" s="681"/>
      <c r="GG54" s="926"/>
      <c r="GH54" s="926"/>
      <c r="GI54" s="926"/>
      <c r="GJ54" s="577"/>
      <c r="GK54" s="576"/>
      <c r="GL54" s="1089">
        <v>11</v>
      </c>
      <c r="GM54" s="1090">
        <v>2</v>
      </c>
      <c r="GN54" s="1091">
        <v>0.85</v>
      </c>
      <c r="GO54" s="1092">
        <v>5.9</v>
      </c>
      <c r="GP54" s="1092">
        <v>10</v>
      </c>
      <c r="GQ54" s="1093">
        <v>15.9</v>
      </c>
      <c r="GR54" s="527"/>
      <c r="GS54" s="577"/>
      <c r="GT54" s="850"/>
      <c r="GU54" s="1107" t="s">
        <v>510</v>
      </c>
      <c r="GV54" s="1107"/>
      <c r="GW54" s="1107"/>
      <c r="GX54" s="1107"/>
      <c r="GY54" s="768"/>
      <c r="GZ54" s="1108"/>
      <c r="HA54" s="1109">
        <v>55</v>
      </c>
      <c r="HB54" s="1110" t="s">
        <v>462</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5.4</v>
      </c>
      <c r="GP55" s="1092">
        <v>10</v>
      </c>
      <c r="GQ55" s="1093">
        <v>15.4</v>
      </c>
      <c r="GR55" s="527"/>
      <c r="GS55" s="527"/>
      <c r="GT55" s="1115"/>
      <c r="GU55" s="1116"/>
      <c r="GV55" s="576"/>
      <c r="GW55" s="527"/>
      <c r="GX55" s="576"/>
      <c r="GY55" s="392"/>
      <c r="GZ55" s="526"/>
      <c r="HA55" s="577"/>
      <c r="HB55" s="526"/>
      <c r="HC55" s="392"/>
      <c r="HD55" s="388"/>
    </row>
    <row r="56" spans="1:212" ht="20.100000000000001" customHeight="1">
      <c r="A56" s="1117" t="s">
        <v>332</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332</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332</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333</v>
      </c>
      <c r="FK56" s="1118"/>
      <c r="FL56" s="1118"/>
      <c r="FM56" s="1118"/>
      <c r="FN56" s="1119"/>
      <c r="FO56" s="1119"/>
      <c r="FP56" s="1125" t="s">
        <v>586</v>
      </c>
      <c r="FQ56" s="1126"/>
      <c r="FR56" s="1127"/>
      <c r="FS56" s="1128" t="s">
        <v>286</v>
      </c>
      <c r="FT56" s="1129"/>
      <c r="FU56" s="1130"/>
      <c r="FV56" s="1131" t="s">
        <v>335</v>
      </c>
      <c r="FW56" s="1132"/>
      <c r="FX56" s="1133" t="s">
        <v>336</v>
      </c>
      <c r="FY56" s="1134"/>
      <c r="FZ56" s="1135" t="s">
        <v>337</v>
      </c>
      <c r="GA56" s="1136"/>
      <c r="GB56" s="1137" t="s">
        <v>338</v>
      </c>
      <c r="GC56" s="1122"/>
      <c r="GD56" s="1137" t="s">
        <v>339</v>
      </c>
      <c r="GE56" s="1124"/>
      <c r="GF56" s="681"/>
      <c r="GG56" s="480"/>
      <c r="GH56" s="480"/>
      <c r="GI56" s="480"/>
      <c r="GJ56" s="527"/>
      <c r="GK56" s="576"/>
      <c r="GL56" s="1089">
        <v>13</v>
      </c>
      <c r="GM56" s="1090">
        <v>4</v>
      </c>
      <c r="GN56" s="1091">
        <v>0.72</v>
      </c>
      <c r="GO56" s="1092">
        <v>5</v>
      </c>
      <c r="GP56" s="1092">
        <v>10</v>
      </c>
      <c r="GQ56" s="1093">
        <v>15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340</v>
      </c>
      <c r="H57" s="1143" t="s">
        <v>319</v>
      </c>
      <c r="I57" s="1144" t="s">
        <v>340</v>
      </c>
      <c r="J57" s="1143" t="s">
        <v>319</v>
      </c>
      <c r="K57" s="1144" t="s">
        <v>340</v>
      </c>
      <c r="L57" s="1143" t="s">
        <v>319</v>
      </c>
      <c r="M57" s="1144" t="s">
        <v>340</v>
      </c>
      <c r="N57" s="1143" t="s">
        <v>319</v>
      </c>
      <c r="O57" s="1144" t="s">
        <v>340</v>
      </c>
      <c r="P57" s="1143" t="s">
        <v>319</v>
      </c>
      <c r="Q57" s="1144" t="s">
        <v>340</v>
      </c>
      <c r="R57" s="1143" t="s">
        <v>319</v>
      </c>
      <c r="S57" s="1144" t="s">
        <v>340</v>
      </c>
      <c r="T57" s="1143" t="s">
        <v>319</v>
      </c>
      <c r="U57" s="1144" t="s">
        <v>340</v>
      </c>
      <c r="V57" s="1143" t="s">
        <v>319</v>
      </c>
      <c r="W57" s="1144" t="s">
        <v>340</v>
      </c>
      <c r="X57" s="1143" t="s">
        <v>319</v>
      </c>
      <c r="Y57" s="1144" t="s">
        <v>340</v>
      </c>
      <c r="Z57" s="1143" t="s">
        <v>319</v>
      </c>
      <c r="AA57" s="1144" t="s">
        <v>340</v>
      </c>
      <c r="AB57" s="1143" t="s">
        <v>319</v>
      </c>
      <c r="AC57" s="1144" t="s">
        <v>340</v>
      </c>
      <c r="AD57" s="1143" t="s">
        <v>340</v>
      </c>
      <c r="AE57" s="1144" t="s">
        <v>340</v>
      </c>
      <c r="AF57" s="1143" t="s">
        <v>319</v>
      </c>
      <c r="AG57" s="1144" t="s">
        <v>340</v>
      </c>
      <c r="AH57" s="1143" t="s">
        <v>319</v>
      </c>
      <c r="AI57" s="1144" t="s">
        <v>340</v>
      </c>
      <c r="AJ57" s="1143" t="s">
        <v>319</v>
      </c>
      <c r="AK57" s="1144" t="s">
        <v>340</v>
      </c>
      <c r="AL57" s="1143" t="s">
        <v>319</v>
      </c>
      <c r="AM57" s="1144" t="s">
        <v>340</v>
      </c>
      <c r="AN57" s="1143" t="s">
        <v>319</v>
      </c>
      <c r="AO57" s="1144" t="s">
        <v>340</v>
      </c>
      <c r="AP57" s="1143" t="s">
        <v>319</v>
      </c>
      <c r="AQ57" s="1144" t="s">
        <v>340</v>
      </c>
      <c r="AR57" s="1143" t="s">
        <v>319</v>
      </c>
      <c r="AS57" s="1144" t="s">
        <v>340</v>
      </c>
      <c r="AT57" s="1143" t="s">
        <v>319</v>
      </c>
      <c r="AU57" s="1144" t="s">
        <v>340</v>
      </c>
      <c r="AV57" s="1143" t="s">
        <v>319</v>
      </c>
      <c r="AW57" s="1144" t="s">
        <v>340</v>
      </c>
      <c r="AX57" s="1143" t="s">
        <v>319</v>
      </c>
      <c r="AY57" s="1144" t="s">
        <v>340</v>
      </c>
      <c r="AZ57" s="1143" t="s">
        <v>319</v>
      </c>
      <c r="BA57" s="1145" t="s">
        <v>340</v>
      </c>
      <c r="BB57" s="1146" t="s">
        <v>319</v>
      </c>
      <c r="BC57" s="1041"/>
      <c r="BD57" s="1138"/>
      <c r="BE57" s="1139"/>
      <c r="BF57" s="1139"/>
      <c r="BG57" s="1139"/>
      <c r="BH57" s="1140"/>
      <c r="BI57" s="1141"/>
      <c r="BJ57" s="1142" t="s">
        <v>340</v>
      </c>
      <c r="BK57" s="1143" t="s">
        <v>319</v>
      </c>
      <c r="BL57" s="1144" t="s">
        <v>340</v>
      </c>
      <c r="BM57" s="1143" t="s">
        <v>319</v>
      </c>
      <c r="BN57" s="1144" t="s">
        <v>340</v>
      </c>
      <c r="BO57" s="1143" t="s">
        <v>319</v>
      </c>
      <c r="BP57" s="1144" t="s">
        <v>340</v>
      </c>
      <c r="BQ57" s="1143" t="s">
        <v>319</v>
      </c>
      <c r="BR57" s="1144" t="s">
        <v>340</v>
      </c>
      <c r="BS57" s="1143" t="s">
        <v>319</v>
      </c>
      <c r="BT57" s="1144" t="s">
        <v>340</v>
      </c>
      <c r="BU57" s="1143" t="s">
        <v>319</v>
      </c>
      <c r="BV57" s="1144" t="s">
        <v>340</v>
      </c>
      <c r="BW57" s="1143" t="s">
        <v>319</v>
      </c>
      <c r="BX57" s="1144" t="s">
        <v>340</v>
      </c>
      <c r="BY57" s="1143" t="s">
        <v>319</v>
      </c>
      <c r="BZ57" s="1144" t="s">
        <v>340</v>
      </c>
      <c r="CA57" s="1143" t="s">
        <v>319</v>
      </c>
      <c r="CB57" s="1144" t="s">
        <v>340</v>
      </c>
      <c r="CC57" s="1143" t="s">
        <v>319</v>
      </c>
      <c r="CD57" s="1144" t="s">
        <v>340</v>
      </c>
      <c r="CE57" s="1143" t="s">
        <v>319</v>
      </c>
      <c r="CF57" s="1144" t="s">
        <v>340</v>
      </c>
      <c r="CG57" s="1143" t="s">
        <v>340</v>
      </c>
      <c r="CH57" s="1144" t="s">
        <v>340</v>
      </c>
      <c r="CI57" s="1143" t="s">
        <v>319</v>
      </c>
      <c r="CJ57" s="1144" t="s">
        <v>340</v>
      </c>
      <c r="CK57" s="1143" t="s">
        <v>319</v>
      </c>
      <c r="CL57" s="1144" t="s">
        <v>340</v>
      </c>
      <c r="CM57" s="1143" t="s">
        <v>319</v>
      </c>
      <c r="CN57" s="1144" t="s">
        <v>340</v>
      </c>
      <c r="CO57" s="1143" t="s">
        <v>319</v>
      </c>
      <c r="CP57" s="1144" t="s">
        <v>340</v>
      </c>
      <c r="CQ57" s="1143" t="s">
        <v>319</v>
      </c>
      <c r="CR57" s="1144" t="s">
        <v>340</v>
      </c>
      <c r="CS57" s="1143" t="s">
        <v>319</v>
      </c>
      <c r="CT57" s="1144" t="s">
        <v>340</v>
      </c>
      <c r="CU57" s="1143" t="s">
        <v>319</v>
      </c>
      <c r="CV57" s="1144" t="s">
        <v>340</v>
      </c>
      <c r="CW57" s="1143" t="s">
        <v>319</v>
      </c>
      <c r="CX57" s="1144" t="s">
        <v>340</v>
      </c>
      <c r="CY57" s="1143" t="s">
        <v>319</v>
      </c>
      <c r="CZ57" s="1144" t="s">
        <v>340</v>
      </c>
      <c r="DA57" s="1143" t="s">
        <v>319</v>
      </c>
      <c r="DB57" s="1144" t="s">
        <v>340</v>
      </c>
      <c r="DC57" s="1143" t="s">
        <v>319</v>
      </c>
      <c r="DD57" s="1145" t="s">
        <v>340</v>
      </c>
      <c r="DE57" s="1146" t="s">
        <v>319</v>
      </c>
      <c r="DF57" s="1041"/>
      <c r="DG57" s="1138"/>
      <c r="DH57" s="1139"/>
      <c r="DI57" s="1139"/>
      <c r="DJ57" s="1139"/>
      <c r="DK57" s="1140"/>
      <c r="DL57" s="1141"/>
      <c r="DM57" s="1142" t="s">
        <v>340</v>
      </c>
      <c r="DN57" s="1143" t="s">
        <v>319</v>
      </c>
      <c r="DO57" s="1144" t="s">
        <v>340</v>
      </c>
      <c r="DP57" s="1143" t="s">
        <v>319</v>
      </c>
      <c r="DQ57" s="1144" t="s">
        <v>340</v>
      </c>
      <c r="DR57" s="1143" t="s">
        <v>319</v>
      </c>
      <c r="DS57" s="1144" t="s">
        <v>340</v>
      </c>
      <c r="DT57" s="1143" t="s">
        <v>319</v>
      </c>
      <c r="DU57" s="1144" t="s">
        <v>340</v>
      </c>
      <c r="DV57" s="1143" t="s">
        <v>319</v>
      </c>
      <c r="DW57" s="1144" t="s">
        <v>340</v>
      </c>
      <c r="DX57" s="1143" t="s">
        <v>319</v>
      </c>
      <c r="DY57" s="1144" t="s">
        <v>340</v>
      </c>
      <c r="DZ57" s="1143" t="s">
        <v>319</v>
      </c>
      <c r="EA57" s="1144" t="s">
        <v>340</v>
      </c>
      <c r="EB57" s="1143" t="s">
        <v>319</v>
      </c>
      <c r="EC57" s="1144" t="s">
        <v>340</v>
      </c>
      <c r="ED57" s="1143" t="s">
        <v>319</v>
      </c>
      <c r="EE57" s="1144" t="s">
        <v>340</v>
      </c>
      <c r="EF57" s="1143" t="s">
        <v>319</v>
      </c>
      <c r="EG57" s="1144" t="s">
        <v>340</v>
      </c>
      <c r="EH57" s="1143" t="s">
        <v>319</v>
      </c>
      <c r="EI57" s="1144" t="s">
        <v>340</v>
      </c>
      <c r="EJ57" s="1143" t="s">
        <v>340</v>
      </c>
      <c r="EK57" s="1144" t="s">
        <v>340</v>
      </c>
      <c r="EL57" s="1143" t="s">
        <v>319</v>
      </c>
      <c r="EM57" s="1144" t="s">
        <v>340</v>
      </c>
      <c r="EN57" s="1143" t="s">
        <v>319</v>
      </c>
      <c r="EO57" s="1144" t="s">
        <v>340</v>
      </c>
      <c r="EP57" s="1143" t="s">
        <v>319</v>
      </c>
      <c r="EQ57" s="1144" t="s">
        <v>340</v>
      </c>
      <c r="ER57" s="1143" t="s">
        <v>319</v>
      </c>
      <c r="ES57" s="1144" t="s">
        <v>340</v>
      </c>
      <c r="ET57" s="1143" t="s">
        <v>319</v>
      </c>
      <c r="EU57" s="1144" t="s">
        <v>340</v>
      </c>
      <c r="EV57" s="1143" t="s">
        <v>319</v>
      </c>
      <c r="EW57" s="1144" t="s">
        <v>340</v>
      </c>
      <c r="EX57" s="1143" t="s">
        <v>319</v>
      </c>
      <c r="EY57" s="1144" t="s">
        <v>340</v>
      </c>
      <c r="EZ57" s="1143" t="s">
        <v>319</v>
      </c>
      <c r="FA57" s="1144" t="s">
        <v>340</v>
      </c>
      <c r="FB57" s="1143" t="s">
        <v>319</v>
      </c>
      <c r="FC57" s="1144" t="s">
        <v>340</v>
      </c>
      <c r="FD57" s="1143" t="s">
        <v>319</v>
      </c>
      <c r="FE57" s="1144" t="s">
        <v>340</v>
      </c>
      <c r="FF57" s="1143" t="s">
        <v>319</v>
      </c>
      <c r="FG57" s="1145" t="s">
        <v>340</v>
      </c>
      <c r="FH57" s="1146" t="s">
        <v>319</v>
      </c>
      <c r="FI57" s="1041"/>
      <c r="FJ57" s="1138"/>
      <c r="FK57" s="1139"/>
      <c r="FL57" s="1139"/>
      <c r="FM57" s="1139"/>
      <c r="FN57" s="1140"/>
      <c r="FO57" s="1141"/>
      <c r="FP57" s="1147" t="s">
        <v>43</v>
      </c>
      <c r="FQ57" s="1145" t="s">
        <v>340</v>
      </c>
      <c r="FR57" s="1143" t="s">
        <v>320</v>
      </c>
      <c r="FS57" s="1148" t="s">
        <v>43</v>
      </c>
      <c r="FT57" s="1145" t="s">
        <v>340</v>
      </c>
      <c r="FU57" s="1149" t="s">
        <v>320</v>
      </c>
      <c r="FV57" s="1150" t="s">
        <v>43</v>
      </c>
      <c r="FW57" s="1143" t="s">
        <v>319</v>
      </c>
      <c r="FX57" s="1148" t="s">
        <v>43</v>
      </c>
      <c r="FY57" s="1143" t="s">
        <v>319</v>
      </c>
      <c r="FZ57" s="1148" t="s">
        <v>43</v>
      </c>
      <c r="GA57" s="1143" t="s">
        <v>319</v>
      </c>
      <c r="GB57" s="1148" t="s">
        <v>43</v>
      </c>
      <c r="GC57" s="1143" t="s">
        <v>319</v>
      </c>
      <c r="GD57" s="1148" t="s">
        <v>43</v>
      </c>
      <c r="GE57" s="1146" t="s">
        <v>320</v>
      </c>
      <c r="GF57" s="681"/>
      <c r="GG57" s="652"/>
      <c r="GH57" s="652"/>
      <c r="GI57" s="652"/>
      <c r="GJ57" s="942"/>
      <c r="GK57" s="410"/>
      <c r="GL57" s="1113">
        <v>14</v>
      </c>
      <c r="GM57" s="1114">
        <v>5</v>
      </c>
      <c r="GN57" s="1091">
        <v>0.66</v>
      </c>
      <c r="GO57" s="1092">
        <v>4.5999999999999996</v>
      </c>
      <c r="GP57" s="1092">
        <v>10</v>
      </c>
      <c r="GQ57" s="1093">
        <v>14.6</v>
      </c>
      <c r="GR57" s="942"/>
      <c r="GS57" s="526"/>
      <c r="GT57" s="1253"/>
      <c r="GU57" s="575"/>
      <c r="GV57" s="575"/>
      <c r="GW57" s="497"/>
      <c r="GX57" s="1256"/>
      <c r="GY57" s="576"/>
      <c r="GZ57" s="497"/>
      <c r="HA57" s="575"/>
      <c r="HB57" s="497"/>
      <c r="HC57" s="1041"/>
    </row>
    <row r="58" spans="1:212" ht="20.100000000000001" customHeight="1">
      <c r="A58" s="1151" t="s">
        <v>660</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110</v>
      </c>
      <c r="Y58" s="1157"/>
      <c r="Z58" s="1156">
        <v>110</v>
      </c>
      <c r="AA58" s="1157"/>
      <c r="AB58" s="1156">
        <v>110</v>
      </c>
      <c r="AC58" s="1157"/>
      <c r="AD58" s="1156">
        <v>110</v>
      </c>
      <c r="AE58" s="1157"/>
      <c r="AF58" s="1156">
        <v>110</v>
      </c>
      <c r="AG58" s="1157"/>
      <c r="AH58" s="1156">
        <v>110</v>
      </c>
      <c r="AI58" s="1157"/>
      <c r="AJ58" s="1156">
        <v>110</v>
      </c>
      <c r="AK58" s="1157"/>
      <c r="AL58" s="1156">
        <v>110</v>
      </c>
      <c r="AM58" s="1157"/>
      <c r="AN58" s="1156">
        <v>110</v>
      </c>
      <c r="AO58" s="1157"/>
      <c r="AP58" s="1156">
        <v>110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110</v>
      </c>
      <c r="CB58" s="1157"/>
      <c r="CC58" s="1156">
        <v>110</v>
      </c>
      <c r="CD58" s="1157"/>
      <c r="CE58" s="1156">
        <v>110</v>
      </c>
      <c r="CF58" s="1157"/>
      <c r="CG58" s="1156">
        <v>110</v>
      </c>
      <c r="CH58" s="1157"/>
      <c r="CI58" s="1156">
        <v>110</v>
      </c>
      <c r="CJ58" s="1157"/>
      <c r="CK58" s="1156">
        <v>110</v>
      </c>
      <c r="CL58" s="1157"/>
      <c r="CM58" s="1156">
        <v>110</v>
      </c>
      <c r="CN58" s="1157"/>
      <c r="CO58" s="1156">
        <v>110</v>
      </c>
      <c r="CP58" s="1157"/>
      <c r="CQ58" s="1156">
        <v>110</v>
      </c>
      <c r="CR58" s="1157"/>
      <c r="CS58" s="1156">
        <v>110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110</v>
      </c>
      <c r="EE58" s="1157"/>
      <c r="EF58" s="1156">
        <v>110</v>
      </c>
      <c r="EG58" s="1157"/>
      <c r="EH58" s="1156">
        <v>110</v>
      </c>
      <c r="EI58" s="1157"/>
      <c r="EJ58" s="1156">
        <v>110</v>
      </c>
      <c r="EK58" s="1157"/>
      <c r="EL58" s="1156">
        <v>110</v>
      </c>
      <c r="EM58" s="1157"/>
      <c r="EN58" s="1156">
        <v>110</v>
      </c>
      <c r="EO58" s="1157"/>
      <c r="EP58" s="1156">
        <v>110</v>
      </c>
      <c r="EQ58" s="1157"/>
      <c r="ER58" s="1156">
        <v>110</v>
      </c>
      <c r="ES58" s="1157"/>
      <c r="ET58" s="1156">
        <v>110</v>
      </c>
      <c r="EU58" s="1157"/>
      <c r="EV58" s="1156">
        <v>110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110</v>
      </c>
      <c r="FS58" s="1160"/>
      <c r="FT58" s="1159"/>
      <c r="FU58" s="1161">
        <v>110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4.2</v>
      </c>
      <c r="GP58" s="1092">
        <v>10</v>
      </c>
      <c r="GQ58" s="1093">
        <v>14.2</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11.6</v>
      </c>
      <c r="X59" s="584">
        <v>425</v>
      </c>
      <c r="Y59" s="1173">
        <v>12</v>
      </c>
      <c r="Z59" s="584">
        <v>440</v>
      </c>
      <c r="AA59" s="1173">
        <v>12.1</v>
      </c>
      <c r="AB59" s="584">
        <v>444</v>
      </c>
      <c r="AC59" s="1173">
        <v>12.7</v>
      </c>
      <c r="AD59" s="584">
        <v>466</v>
      </c>
      <c r="AE59" s="1173">
        <v>12.5</v>
      </c>
      <c r="AF59" s="584">
        <v>458</v>
      </c>
      <c r="AG59" s="1173">
        <v>12.2</v>
      </c>
      <c r="AH59" s="584">
        <v>447</v>
      </c>
      <c r="AI59" s="1173">
        <v>12.2</v>
      </c>
      <c r="AJ59" s="584">
        <v>447</v>
      </c>
      <c r="AK59" s="1173">
        <v>12.1</v>
      </c>
      <c r="AL59" s="584">
        <v>444</v>
      </c>
      <c r="AM59" s="1173">
        <v>11.8</v>
      </c>
      <c r="AN59" s="584">
        <v>433</v>
      </c>
      <c r="AO59" s="1173">
        <v>11.5</v>
      </c>
      <c r="AP59" s="584">
        <v>422</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9.4</v>
      </c>
      <c r="CA59" s="584">
        <v>345</v>
      </c>
      <c r="CB59" s="1173">
        <v>9.6999999999999993</v>
      </c>
      <c r="CC59" s="584">
        <v>356</v>
      </c>
      <c r="CD59" s="1173">
        <v>10.1</v>
      </c>
      <c r="CE59" s="584">
        <v>370</v>
      </c>
      <c r="CF59" s="1173">
        <v>10.4</v>
      </c>
      <c r="CG59" s="584">
        <v>381</v>
      </c>
      <c r="CH59" s="1173">
        <v>10.6</v>
      </c>
      <c r="CI59" s="584">
        <v>389</v>
      </c>
      <c r="CJ59" s="1173">
        <v>10.3</v>
      </c>
      <c r="CK59" s="584">
        <v>378</v>
      </c>
      <c r="CL59" s="1173">
        <v>10.199999999999999</v>
      </c>
      <c r="CM59" s="584">
        <v>374</v>
      </c>
      <c r="CN59" s="1173">
        <v>10.1</v>
      </c>
      <c r="CO59" s="584">
        <v>370</v>
      </c>
      <c r="CP59" s="1173">
        <v>10.1</v>
      </c>
      <c r="CQ59" s="584">
        <v>370</v>
      </c>
      <c r="CR59" s="1173">
        <v>9.8000000000000007</v>
      </c>
      <c r="CS59" s="584">
        <v>359</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5.5</v>
      </c>
      <c r="ED59" s="584">
        <v>202</v>
      </c>
      <c r="EE59" s="1173">
        <v>6</v>
      </c>
      <c r="EF59" s="584">
        <v>220</v>
      </c>
      <c r="EG59" s="1173">
        <v>6</v>
      </c>
      <c r="EH59" s="584">
        <v>220</v>
      </c>
      <c r="EI59" s="1173">
        <v>6.2</v>
      </c>
      <c r="EJ59" s="584">
        <v>227</v>
      </c>
      <c r="EK59" s="1173">
        <v>6.1</v>
      </c>
      <c r="EL59" s="584">
        <v>224</v>
      </c>
      <c r="EM59" s="1173">
        <v>5.9</v>
      </c>
      <c r="EN59" s="584">
        <v>216</v>
      </c>
      <c r="EO59" s="1173">
        <v>5.8</v>
      </c>
      <c r="EP59" s="584">
        <v>213</v>
      </c>
      <c r="EQ59" s="1173">
        <v>5.8</v>
      </c>
      <c r="ER59" s="584">
        <v>213</v>
      </c>
      <c r="ES59" s="1173">
        <v>5.6</v>
      </c>
      <c r="ET59" s="584">
        <v>205</v>
      </c>
      <c r="EU59" s="1173">
        <v>5.8</v>
      </c>
      <c r="EV59" s="584">
        <v>213</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3.1</v>
      </c>
      <c r="FR59" s="1175">
        <v>114</v>
      </c>
      <c r="FS59" s="1176">
        <v>9</v>
      </c>
      <c r="FT59" s="1174">
        <v>3.2</v>
      </c>
      <c r="FU59" s="1177">
        <v>117</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3.9</v>
      </c>
      <c r="GP59" s="1092">
        <v>10</v>
      </c>
      <c r="GQ59" s="1093">
        <v>13.9</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3.5</v>
      </c>
      <c r="GP60" s="1092">
        <v>10</v>
      </c>
      <c r="GQ60" s="1093">
        <v>13.5</v>
      </c>
      <c r="GR60" s="392"/>
      <c r="GS60" s="480"/>
      <c r="GT60" s="1255"/>
      <c r="GU60" s="497"/>
      <c r="GV60" s="576"/>
      <c r="GW60" s="497"/>
      <c r="GX60" s="576"/>
      <c r="GY60" s="497"/>
      <c r="GZ60" s="497"/>
      <c r="HA60" s="575"/>
      <c r="HB60" s="497"/>
      <c r="HC60" s="1188"/>
      <c r="HD60" s="1027"/>
    </row>
    <row r="61" spans="1:212" ht="20.100000000000001" customHeight="1">
      <c r="A61" s="1189" t="s">
        <v>664</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4126</v>
      </c>
      <c r="Y61" s="1194"/>
      <c r="Z61" s="1195">
        <v>3831</v>
      </c>
      <c r="AA61" s="1194"/>
      <c r="AB61" s="1195">
        <v>3935</v>
      </c>
      <c r="AC61" s="1194"/>
      <c r="AD61" s="1195">
        <v>4000</v>
      </c>
      <c r="AE61" s="1194"/>
      <c r="AF61" s="1195">
        <v>4003</v>
      </c>
      <c r="AG61" s="1194"/>
      <c r="AH61" s="1195">
        <v>3970</v>
      </c>
      <c r="AI61" s="1194"/>
      <c r="AJ61" s="1195">
        <v>3876</v>
      </c>
      <c r="AK61" s="1194"/>
      <c r="AL61" s="1195">
        <v>3757</v>
      </c>
      <c r="AM61" s="1194"/>
      <c r="AN61" s="1195">
        <v>3572</v>
      </c>
      <c r="AO61" s="1194"/>
      <c r="AP61" s="1195">
        <v>3378</v>
      </c>
      <c r="AQ61" s="1194"/>
      <c r="AR61" s="1195">
        <v>0</v>
      </c>
      <c r="AS61" s="1194"/>
      <c r="AT61" s="1195">
        <v>0</v>
      </c>
      <c r="AU61" s="1194"/>
      <c r="AV61" s="1195">
        <v>0</v>
      </c>
      <c r="AW61" s="1194"/>
      <c r="AX61" s="1195">
        <v>0</v>
      </c>
      <c r="AY61" s="1194"/>
      <c r="AZ61" s="1195">
        <v>0</v>
      </c>
      <c r="BA61" s="1194"/>
      <c r="BB61" s="1196">
        <v>0</v>
      </c>
      <c r="BC61" s="560"/>
      <c r="BD61" s="1189" t="s">
        <v>664</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4101</v>
      </c>
      <c r="CB61" s="1194"/>
      <c r="CC61" s="1195">
        <v>3755</v>
      </c>
      <c r="CD61" s="1194"/>
      <c r="CE61" s="1195">
        <v>3844</v>
      </c>
      <c r="CF61" s="1194"/>
      <c r="CG61" s="1195">
        <v>3860</v>
      </c>
      <c r="CH61" s="1194"/>
      <c r="CI61" s="1195">
        <v>3862</v>
      </c>
      <c r="CJ61" s="1194"/>
      <c r="CK61" s="1195">
        <v>3802</v>
      </c>
      <c r="CL61" s="1194"/>
      <c r="CM61" s="1195">
        <v>3717</v>
      </c>
      <c r="CN61" s="1194"/>
      <c r="CO61" s="1195">
        <v>3622</v>
      </c>
      <c r="CP61" s="1194"/>
      <c r="CQ61" s="1195">
        <v>3491</v>
      </c>
      <c r="CR61" s="1194"/>
      <c r="CS61" s="1195">
        <v>3304</v>
      </c>
      <c r="CT61" s="1194"/>
      <c r="CU61" s="1195">
        <v>0</v>
      </c>
      <c r="CV61" s="1194"/>
      <c r="CW61" s="1195">
        <v>0</v>
      </c>
      <c r="CX61" s="1194"/>
      <c r="CY61" s="1195">
        <v>0</v>
      </c>
      <c r="CZ61" s="1194"/>
      <c r="DA61" s="1195">
        <v>0</v>
      </c>
      <c r="DB61" s="1194"/>
      <c r="DC61" s="1195">
        <v>0</v>
      </c>
      <c r="DD61" s="1194"/>
      <c r="DE61" s="1196">
        <v>0</v>
      </c>
      <c r="DF61" s="559"/>
      <c r="DG61" s="1189" t="s">
        <v>664</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3673</v>
      </c>
      <c r="EE61" s="1194"/>
      <c r="EF61" s="1195">
        <v>3233</v>
      </c>
      <c r="EG61" s="1194"/>
      <c r="EH61" s="1195">
        <v>3337</v>
      </c>
      <c r="EI61" s="1194"/>
      <c r="EJ61" s="1195">
        <v>3396</v>
      </c>
      <c r="EK61" s="1194"/>
      <c r="EL61" s="1195">
        <v>3383</v>
      </c>
      <c r="EM61" s="1194"/>
      <c r="EN61" s="1195">
        <v>3325</v>
      </c>
      <c r="EO61" s="1194"/>
      <c r="EP61" s="1195">
        <v>3249</v>
      </c>
      <c r="EQ61" s="1194"/>
      <c r="ER61" s="1195">
        <v>3158</v>
      </c>
      <c r="ES61" s="1194"/>
      <c r="ET61" s="1195">
        <v>2972</v>
      </c>
      <c r="EU61" s="1194"/>
      <c r="EV61" s="1195">
        <v>2815</v>
      </c>
      <c r="EW61" s="1194"/>
      <c r="EX61" s="1195">
        <v>0</v>
      </c>
      <c r="EY61" s="1194"/>
      <c r="EZ61" s="1195">
        <v>0</v>
      </c>
      <c r="FA61" s="1194"/>
      <c r="FB61" s="1195">
        <v>0</v>
      </c>
      <c r="FC61" s="1194"/>
      <c r="FD61" s="1195">
        <v>0</v>
      </c>
      <c r="FE61" s="1194"/>
      <c r="FF61" s="1195">
        <v>0</v>
      </c>
      <c r="FG61" s="1194"/>
      <c r="FH61" s="1196">
        <v>0</v>
      </c>
      <c r="FI61" s="560"/>
      <c r="FJ61" s="1189" t="s">
        <v>664</v>
      </c>
      <c r="FK61" s="1190"/>
      <c r="FL61" s="1190"/>
      <c r="FM61" s="1190"/>
      <c r="FN61" s="1190"/>
      <c r="FO61" s="1190"/>
      <c r="FP61" s="1197"/>
      <c r="FQ61" s="1198"/>
      <c r="FR61" s="1199">
        <v>5822</v>
      </c>
      <c r="FS61" s="1200"/>
      <c r="FT61" s="1198"/>
      <c r="FU61" s="1201">
        <v>5887</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3.2</v>
      </c>
      <c r="GP61" s="1092">
        <v>10</v>
      </c>
      <c r="GQ61" s="1093">
        <v>13.2</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341</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342</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341</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341</v>
      </c>
      <c r="FK63" s="1119"/>
      <c r="FL63" s="1119"/>
      <c r="FM63" s="1119"/>
      <c r="FN63" s="1119"/>
      <c r="FO63" s="1120"/>
      <c r="FP63" s="1125" t="s">
        <v>587</v>
      </c>
      <c r="FQ63" s="1126"/>
      <c r="FR63" s="1127"/>
      <c r="FS63" s="1128" t="s">
        <v>286</v>
      </c>
      <c r="FT63" s="1129"/>
      <c r="FU63" s="1130"/>
      <c r="FV63" s="1131" t="s">
        <v>335</v>
      </c>
      <c r="FW63" s="1132"/>
      <c r="FX63" s="1133" t="s">
        <v>336</v>
      </c>
      <c r="FY63" s="1134"/>
      <c r="FZ63" s="1135" t="s">
        <v>337</v>
      </c>
      <c r="GA63" s="1136"/>
      <c r="GB63" s="1137" t="s">
        <v>338</v>
      </c>
      <c r="GC63" s="1122"/>
      <c r="GD63" s="1137" t="s">
        <v>339</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344</v>
      </c>
      <c r="I64" s="1144"/>
      <c r="J64" s="1143" t="s">
        <v>344</v>
      </c>
      <c r="K64" s="1144"/>
      <c r="L64" s="1143" t="s">
        <v>344</v>
      </c>
      <c r="M64" s="1144"/>
      <c r="N64" s="1143" t="s">
        <v>344</v>
      </c>
      <c r="O64" s="1144"/>
      <c r="P64" s="1143" t="s">
        <v>344</v>
      </c>
      <c r="Q64" s="1144"/>
      <c r="R64" s="1143" t="s">
        <v>344</v>
      </c>
      <c r="S64" s="1144"/>
      <c r="T64" s="1143" t="s">
        <v>344</v>
      </c>
      <c r="U64" s="1144"/>
      <c r="V64" s="1143" t="s">
        <v>344</v>
      </c>
      <c r="W64" s="1144"/>
      <c r="X64" s="1143" t="s">
        <v>344</v>
      </c>
      <c r="Y64" s="1144"/>
      <c r="Z64" s="1143" t="s">
        <v>344</v>
      </c>
      <c r="AA64" s="1144"/>
      <c r="AB64" s="1143" t="s">
        <v>344</v>
      </c>
      <c r="AC64" s="1144"/>
      <c r="AD64" s="1143" t="s">
        <v>344</v>
      </c>
      <c r="AE64" s="1144"/>
      <c r="AF64" s="1143" t="s">
        <v>344</v>
      </c>
      <c r="AG64" s="1144"/>
      <c r="AH64" s="1143" t="s">
        <v>344</v>
      </c>
      <c r="AI64" s="1144"/>
      <c r="AJ64" s="1143" t="s">
        <v>344</v>
      </c>
      <c r="AK64" s="1144"/>
      <c r="AL64" s="1143" t="s">
        <v>344</v>
      </c>
      <c r="AM64" s="1144"/>
      <c r="AN64" s="1143" t="s">
        <v>344</v>
      </c>
      <c r="AO64" s="1144"/>
      <c r="AP64" s="1143" t="s">
        <v>344</v>
      </c>
      <c r="AQ64" s="1144"/>
      <c r="AR64" s="1143" t="s">
        <v>344</v>
      </c>
      <c r="AS64" s="1144"/>
      <c r="AT64" s="1143" t="s">
        <v>344</v>
      </c>
      <c r="AU64" s="1144"/>
      <c r="AV64" s="1143" t="s">
        <v>344</v>
      </c>
      <c r="AW64" s="1144"/>
      <c r="AX64" s="1143" t="s">
        <v>344</v>
      </c>
      <c r="AY64" s="1144"/>
      <c r="AZ64" s="1143" t="s">
        <v>344</v>
      </c>
      <c r="BA64" s="1144"/>
      <c r="BB64" s="1146" t="s">
        <v>344</v>
      </c>
      <c r="BC64" s="1041"/>
      <c r="BD64" s="1210"/>
      <c r="BE64" s="1211"/>
      <c r="BF64" s="1211"/>
      <c r="BG64" s="1211"/>
      <c r="BH64" s="1140"/>
      <c r="BI64" s="1141"/>
      <c r="BJ64" s="1142"/>
      <c r="BK64" s="1143" t="s">
        <v>344</v>
      </c>
      <c r="BL64" s="1144"/>
      <c r="BM64" s="1143" t="s">
        <v>344</v>
      </c>
      <c r="BN64" s="1144"/>
      <c r="BO64" s="1143" t="s">
        <v>344</v>
      </c>
      <c r="BP64" s="1144"/>
      <c r="BQ64" s="1143" t="s">
        <v>344</v>
      </c>
      <c r="BR64" s="1144"/>
      <c r="BS64" s="1143" t="s">
        <v>344</v>
      </c>
      <c r="BT64" s="1144"/>
      <c r="BU64" s="1143" t="s">
        <v>344</v>
      </c>
      <c r="BV64" s="1144"/>
      <c r="BW64" s="1143" t="s">
        <v>344</v>
      </c>
      <c r="BX64" s="1144"/>
      <c r="BY64" s="1143" t="s">
        <v>344</v>
      </c>
      <c r="BZ64" s="1144"/>
      <c r="CA64" s="1143" t="s">
        <v>344</v>
      </c>
      <c r="CB64" s="1144"/>
      <c r="CC64" s="1143" t="s">
        <v>344</v>
      </c>
      <c r="CD64" s="1144"/>
      <c r="CE64" s="1143" t="s">
        <v>344</v>
      </c>
      <c r="CF64" s="1144"/>
      <c r="CG64" s="1143" t="s">
        <v>344</v>
      </c>
      <c r="CH64" s="1144"/>
      <c r="CI64" s="1143" t="s">
        <v>344</v>
      </c>
      <c r="CJ64" s="1144"/>
      <c r="CK64" s="1143" t="s">
        <v>344</v>
      </c>
      <c r="CL64" s="1144"/>
      <c r="CM64" s="1143" t="s">
        <v>344</v>
      </c>
      <c r="CN64" s="1144"/>
      <c r="CO64" s="1143" t="s">
        <v>344</v>
      </c>
      <c r="CP64" s="1144"/>
      <c r="CQ64" s="1143" t="s">
        <v>344</v>
      </c>
      <c r="CR64" s="1144"/>
      <c r="CS64" s="1143" t="s">
        <v>344</v>
      </c>
      <c r="CT64" s="1144"/>
      <c r="CU64" s="1143" t="s">
        <v>344</v>
      </c>
      <c r="CV64" s="1144"/>
      <c r="CW64" s="1143" t="s">
        <v>344</v>
      </c>
      <c r="CX64" s="1144"/>
      <c r="CY64" s="1143" t="s">
        <v>344</v>
      </c>
      <c r="CZ64" s="1144"/>
      <c r="DA64" s="1143" t="s">
        <v>344</v>
      </c>
      <c r="DB64" s="1144"/>
      <c r="DC64" s="1143" t="s">
        <v>344</v>
      </c>
      <c r="DD64" s="1144"/>
      <c r="DE64" s="1146" t="s">
        <v>344</v>
      </c>
      <c r="DF64" s="1041"/>
      <c r="DG64" s="1209"/>
      <c r="DH64" s="1140"/>
      <c r="DI64" s="1140"/>
      <c r="DJ64" s="1140"/>
      <c r="DK64" s="1140"/>
      <c r="DL64" s="1141"/>
      <c r="DM64" s="1142"/>
      <c r="DN64" s="1143" t="s">
        <v>344</v>
      </c>
      <c r="DO64" s="1144"/>
      <c r="DP64" s="1143" t="s">
        <v>344</v>
      </c>
      <c r="DQ64" s="1144"/>
      <c r="DR64" s="1143" t="s">
        <v>344</v>
      </c>
      <c r="DS64" s="1144"/>
      <c r="DT64" s="1143" t="s">
        <v>344</v>
      </c>
      <c r="DU64" s="1144"/>
      <c r="DV64" s="1143" t="s">
        <v>344</v>
      </c>
      <c r="DW64" s="1144"/>
      <c r="DX64" s="1143" t="s">
        <v>344</v>
      </c>
      <c r="DY64" s="1144"/>
      <c r="DZ64" s="1143" t="s">
        <v>344</v>
      </c>
      <c r="EA64" s="1144"/>
      <c r="EB64" s="1143" t="s">
        <v>344</v>
      </c>
      <c r="EC64" s="1144"/>
      <c r="ED64" s="1143" t="s">
        <v>344</v>
      </c>
      <c r="EE64" s="1144"/>
      <c r="EF64" s="1143" t="s">
        <v>344</v>
      </c>
      <c r="EG64" s="1144"/>
      <c r="EH64" s="1143" t="s">
        <v>344</v>
      </c>
      <c r="EI64" s="1144"/>
      <c r="EJ64" s="1143" t="s">
        <v>344</v>
      </c>
      <c r="EK64" s="1144"/>
      <c r="EL64" s="1143" t="s">
        <v>344</v>
      </c>
      <c r="EM64" s="1144"/>
      <c r="EN64" s="1143" t="s">
        <v>344</v>
      </c>
      <c r="EO64" s="1144"/>
      <c r="EP64" s="1143" t="s">
        <v>344</v>
      </c>
      <c r="EQ64" s="1144"/>
      <c r="ER64" s="1143" t="s">
        <v>344</v>
      </c>
      <c r="ES64" s="1144"/>
      <c r="ET64" s="1143" t="s">
        <v>344</v>
      </c>
      <c r="EU64" s="1144"/>
      <c r="EV64" s="1143" t="s">
        <v>344</v>
      </c>
      <c r="EW64" s="1144"/>
      <c r="EX64" s="1143" t="s">
        <v>344</v>
      </c>
      <c r="EY64" s="1144"/>
      <c r="EZ64" s="1143" t="s">
        <v>344</v>
      </c>
      <c r="FA64" s="1144"/>
      <c r="FB64" s="1143" t="s">
        <v>344</v>
      </c>
      <c r="FC64" s="1144"/>
      <c r="FD64" s="1143" t="s">
        <v>344</v>
      </c>
      <c r="FE64" s="1144"/>
      <c r="FF64" s="1143" t="s">
        <v>344</v>
      </c>
      <c r="FG64" s="1144"/>
      <c r="FH64" s="1146" t="s">
        <v>344</v>
      </c>
      <c r="FI64" s="1041"/>
      <c r="FJ64" s="1209"/>
      <c r="FK64" s="1140"/>
      <c r="FL64" s="1140"/>
      <c r="FM64" s="1140"/>
      <c r="FN64" s="1140"/>
      <c r="FO64" s="1141"/>
      <c r="FP64" s="1147" t="s">
        <v>43</v>
      </c>
      <c r="FQ64" s="1145" t="s">
        <v>345</v>
      </c>
      <c r="FR64" s="1143" t="s">
        <v>344</v>
      </c>
      <c r="FS64" s="1148" t="s">
        <v>43</v>
      </c>
      <c r="FT64" s="1145" t="s">
        <v>345</v>
      </c>
      <c r="FU64" s="1149" t="s">
        <v>344</v>
      </c>
      <c r="FV64" s="1150" t="s">
        <v>43</v>
      </c>
      <c r="FW64" s="1143" t="s">
        <v>344</v>
      </c>
      <c r="FX64" s="1148" t="s">
        <v>43</v>
      </c>
      <c r="FY64" s="1143" t="s">
        <v>344</v>
      </c>
      <c r="FZ64" s="1148" t="s">
        <v>43</v>
      </c>
      <c r="GA64" s="1143" t="s">
        <v>344</v>
      </c>
      <c r="GB64" s="1148" t="s">
        <v>43</v>
      </c>
      <c r="GC64" s="1143" t="s">
        <v>344</v>
      </c>
      <c r="GD64" s="1148" t="s">
        <v>43</v>
      </c>
      <c r="GE64" s="1146" t="s">
        <v>344</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665</v>
      </c>
      <c r="FK66" s="1190"/>
      <c r="FL66" s="1229"/>
      <c r="FM66" s="1230" t="s">
        <v>666</v>
      </c>
      <c r="FN66" s="1231"/>
      <c r="FO66" s="1191"/>
      <c r="FP66" s="1197">
        <v>9</v>
      </c>
      <c r="FQ66" s="1232">
        <v>5.19</v>
      </c>
      <c r="FR66" s="1233">
        <v>0.7</v>
      </c>
      <c r="FS66" s="1200">
        <v>9</v>
      </c>
      <c r="FT66" s="1232">
        <v>3.49</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346</v>
      </c>
      <c r="B68" s="1241"/>
      <c r="C68" s="1241"/>
      <c r="D68" s="1241"/>
      <c r="E68" s="814"/>
      <c r="F68" s="814"/>
      <c r="G68" s="1242" t="s">
        <v>351</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346</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346</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346</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601</v>
      </c>
    </row>
    <row r="6" spans="1:5" ht="30" customHeight="1">
      <c r="A6" s="6"/>
    </row>
    <row r="7" spans="1:5" ht="30" customHeight="1">
      <c r="A7" s="6" t="s">
        <v>602</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v>
      </c>
    </row>
    <row r="6" spans="1:5" ht="30" customHeight="1">
      <c r="A6" s="6"/>
    </row>
    <row r="7" spans="1:5" ht="30" customHeight="1">
      <c r="A7" s="6" t="s">
        <v>2</v>
      </c>
    </row>
    <row r="8" spans="1:5" ht="30" customHeight="1">
      <c r="A8" s="6" t="s">
        <v>25</v>
      </c>
    </row>
    <row r="9" spans="1:5" ht="30" customHeight="1">
      <c r="A9" s="6" t="s">
        <v>104</v>
      </c>
    </row>
    <row r="10" spans="1:5" ht="30" customHeight="1">
      <c r="A10" s="6" t="s">
        <v>105</v>
      </c>
    </row>
    <row r="11" spans="1:5" ht="30" customHeight="1">
      <c r="A11" s="6" t="s">
        <v>186</v>
      </c>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T59"/>
  <sheetViews>
    <sheetView showGridLines="0" zoomScale="80" zoomScaleNormal="80" workbookViewId="0">
      <pane xSplit="6" ySplit="6" topLeftCell="G7" activePane="bottomRight" state="frozenSplit"/>
      <selection pane="topRight" activeCell="Q1" sqref="Q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26.28515625" style="1276" customWidth="1"/>
    <col min="4" max="8" width="7.7109375" style="1276" customWidth="1"/>
    <col min="9" max="10" width="7.7109375" style="1276" hidden="1" customWidth="1"/>
    <col min="11" max="14" width="7.7109375" style="1276" customWidth="1"/>
    <col min="15" max="16" width="7.7109375" style="1276" hidden="1" customWidth="1"/>
    <col min="17" max="25" width="7.7109375" style="1276" customWidth="1"/>
    <col min="26" max="27" width="9.140625" style="1272"/>
    <col min="28" max="43" width="9.140625" style="1275"/>
    <col min="44" max="44" width="9.140625" style="1274"/>
    <col min="45" max="46" width="9.140625" style="1273"/>
    <col min="47" max="16384" width="9.140625" style="1272"/>
  </cols>
  <sheetData>
    <row r="1" spans="1:46" s="1396" customFormat="1" ht="24" customHeight="1" thickBot="1">
      <c r="A1" s="1408" t="s">
        <v>636</v>
      </c>
      <c r="B1" s="1407"/>
      <c r="C1" s="1406"/>
      <c r="D1" s="1405"/>
      <c r="E1" s="1404"/>
      <c r="F1" s="1403"/>
      <c r="G1" s="1403"/>
      <c r="H1" s="1404"/>
      <c r="I1" s="1404"/>
      <c r="J1" s="1404"/>
      <c r="K1" s="1403"/>
      <c r="L1" s="1403"/>
      <c r="M1" s="1402"/>
      <c r="N1" s="1403"/>
      <c r="O1" s="1404"/>
      <c r="P1" s="1404"/>
      <c r="Q1" s="1403"/>
      <c r="R1" s="1403"/>
      <c r="S1" s="1402"/>
      <c r="T1" s="1402"/>
      <c r="U1" s="1402"/>
      <c r="V1" s="1402"/>
      <c r="W1" s="1402"/>
      <c r="X1" s="1402"/>
      <c r="Y1" s="1401"/>
      <c r="AB1" s="1400" t="s">
        <v>635</v>
      </c>
      <c r="AC1" s="1399"/>
      <c r="AD1" s="1399"/>
      <c r="AE1" s="1399"/>
      <c r="AF1" s="1399"/>
      <c r="AG1" s="1399"/>
      <c r="AH1" s="1399"/>
      <c r="AI1" s="1399"/>
      <c r="AJ1" s="1399"/>
      <c r="AK1" s="1399"/>
      <c r="AL1" s="1399"/>
      <c r="AM1" s="1399"/>
      <c r="AN1" s="1399"/>
      <c r="AO1" s="1399"/>
      <c r="AP1" s="1399"/>
      <c r="AQ1" s="1399"/>
      <c r="AR1" s="1398"/>
      <c r="AS1" s="1397"/>
      <c r="AT1" s="1397"/>
    </row>
    <row r="2" spans="1:46" ht="13.5" customHeight="1">
      <c r="AB2" s="1395" t="s">
        <v>634</v>
      </c>
      <c r="AC2" s="1394"/>
      <c r="AD2" s="1394"/>
      <c r="AE2" s="1394"/>
      <c r="AF2" s="1394"/>
      <c r="AG2" s="1394"/>
      <c r="AH2" s="1394"/>
      <c r="AI2" s="1393"/>
      <c r="AJ2" s="1392" t="s">
        <v>633</v>
      </c>
      <c r="AK2" s="1392"/>
      <c r="AL2" s="1392"/>
      <c r="AM2" s="1392"/>
      <c r="AN2" s="1392"/>
      <c r="AO2" s="1392"/>
      <c r="AP2" s="1392"/>
      <c r="AQ2" s="1391"/>
      <c r="AS2" s="1390" t="s">
        <v>632</v>
      </c>
      <c r="AT2" s="1389"/>
    </row>
    <row r="3" spans="1:46" ht="13.5" customHeight="1">
      <c r="H3" s="1276" t="s">
        <v>700</v>
      </c>
      <c r="Y3" s="1388" t="s">
        <v>645</v>
      </c>
      <c r="AB3" s="1387"/>
      <c r="AC3" s="1386"/>
      <c r="AD3" s="1386"/>
      <c r="AE3" s="1386"/>
      <c r="AF3" s="1386"/>
      <c r="AG3" s="1386"/>
      <c r="AH3" s="1386"/>
      <c r="AI3" s="1385"/>
      <c r="AJ3" s="1384"/>
      <c r="AK3" s="1384"/>
      <c r="AL3" s="1384"/>
      <c r="AM3" s="1384"/>
      <c r="AN3" s="1384"/>
      <c r="AO3" s="1384"/>
      <c r="AP3" s="1384"/>
      <c r="AQ3" s="1383"/>
      <c r="AS3" s="1382"/>
      <c r="AT3" s="1381"/>
    </row>
    <row r="4" spans="1:46" ht="13.5" customHeight="1" thickBot="1">
      <c r="A4" s="1380" t="s">
        <v>372</v>
      </c>
      <c r="B4" s="1379" t="s">
        <v>358</v>
      </c>
      <c r="C4" s="1379" t="s">
        <v>631</v>
      </c>
      <c r="D4" s="1378" t="s">
        <v>630</v>
      </c>
      <c r="E4" s="1378" t="s">
        <v>629</v>
      </c>
      <c r="F4" s="1377" t="s">
        <v>628</v>
      </c>
      <c r="G4" s="1376" t="s">
        <v>637</v>
      </c>
      <c r="H4" s="1371" t="s">
        <v>627</v>
      </c>
      <c r="I4" s="1370"/>
      <c r="J4" s="1370"/>
      <c r="K4" s="1370"/>
      <c r="L4" s="1374"/>
      <c r="M4" s="1375" t="s">
        <v>626</v>
      </c>
      <c r="N4" s="1371" t="s">
        <v>625</v>
      </c>
      <c r="O4" s="1370"/>
      <c r="P4" s="1370"/>
      <c r="Q4" s="1370"/>
      <c r="R4" s="1374"/>
      <c r="S4" s="1373" t="s">
        <v>642</v>
      </c>
      <c r="T4" s="1372"/>
      <c r="U4" s="1371" t="s">
        <v>624</v>
      </c>
      <c r="V4" s="1370"/>
      <c r="W4" s="1370"/>
      <c r="X4" s="1369"/>
      <c r="Y4" s="1368" t="s">
        <v>623</v>
      </c>
      <c r="AB4" s="1367" t="s">
        <v>622</v>
      </c>
      <c r="AC4" s="1367"/>
      <c r="AD4" s="1367"/>
      <c r="AE4" s="1367"/>
      <c r="AF4" s="1366" t="s">
        <v>621</v>
      </c>
      <c r="AG4" s="1366"/>
      <c r="AH4" s="1366"/>
      <c r="AI4" s="1366"/>
      <c r="AJ4" s="1367" t="s">
        <v>622</v>
      </c>
      <c r="AK4" s="1367"/>
      <c r="AL4" s="1367"/>
      <c r="AM4" s="1367"/>
      <c r="AN4" s="1366" t="s">
        <v>621</v>
      </c>
      <c r="AO4" s="1366"/>
      <c r="AP4" s="1366"/>
      <c r="AQ4" s="1366"/>
      <c r="AS4" s="1365"/>
      <c r="AT4" s="1364"/>
    </row>
    <row r="5" spans="1:46" ht="22.5" customHeight="1">
      <c r="A5" s="1348"/>
      <c r="B5" s="1347"/>
      <c r="C5" s="1347"/>
      <c r="D5" s="1346"/>
      <c r="E5" s="1346"/>
      <c r="F5" s="1345"/>
      <c r="G5" s="1363"/>
      <c r="H5" s="1441" t="s">
        <v>641</v>
      </c>
      <c r="I5" s="1438"/>
      <c r="J5" s="1439"/>
      <c r="K5" s="1360" t="s">
        <v>620</v>
      </c>
      <c r="L5" s="1362" t="s">
        <v>619</v>
      </c>
      <c r="M5" s="1361"/>
      <c r="N5" s="1441" t="s">
        <v>641</v>
      </c>
      <c r="O5" s="1438"/>
      <c r="P5" s="1439"/>
      <c r="Q5" s="1360" t="s">
        <v>620</v>
      </c>
      <c r="R5" s="1359" t="s">
        <v>619</v>
      </c>
      <c r="S5" s="1358"/>
      <c r="T5" s="1357"/>
      <c r="U5" s="1335" t="s">
        <v>643</v>
      </c>
      <c r="V5" s="1334" t="s">
        <v>644</v>
      </c>
      <c r="W5" s="1334" t="s">
        <v>618</v>
      </c>
      <c r="X5" s="1356" t="s">
        <v>617</v>
      </c>
      <c r="Y5" s="1332"/>
      <c r="AB5" s="1353" t="s">
        <v>616</v>
      </c>
      <c r="AC5" s="1352" t="s">
        <v>615</v>
      </c>
      <c r="AD5" s="1352" t="s">
        <v>614</v>
      </c>
      <c r="AE5" s="1351" t="s">
        <v>613</v>
      </c>
      <c r="AF5" s="1355" t="s">
        <v>616</v>
      </c>
      <c r="AG5" s="1352" t="s">
        <v>615</v>
      </c>
      <c r="AH5" s="1352" t="s">
        <v>614</v>
      </c>
      <c r="AI5" s="1351" t="s">
        <v>613</v>
      </c>
      <c r="AJ5" s="1355" t="s">
        <v>616</v>
      </c>
      <c r="AK5" s="1352" t="s">
        <v>615</v>
      </c>
      <c r="AL5" s="1352" t="s">
        <v>614</v>
      </c>
      <c r="AM5" s="1354" t="s">
        <v>613</v>
      </c>
      <c r="AN5" s="1353" t="s">
        <v>616</v>
      </c>
      <c r="AO5" s="1352" t="s">
        <v>615</v>
      </c>
      <c r="AP5" s="1352" t="s">
        <v>614</v>
      </c>
      <c r="AQ5" s="1351" t="s">
        <v>613</v>
      </c>
      <c r="AS5" s="1350" t="s">
        <v>612</v>
      </c>
      <c r="AT5" s="1349" t="s">
        <v>611</v>
      </c>
    </row>
    <row r="6" spans="1:46" ht="13.5" customHeight="1">
      <c r="A6" s="1348"/>
      <c r="B6" s="1347"/>
      <c r="C6" s="1347"/>
      <c r="D6" s="1346"/>
      <c r="E6" s="1346"/>
      <c r="F6" s="1345"/>
      <c r="G6" s="1344"/>
      <c r="H6" s="1440"/>
      <c r="I6" s="1341" t="s">
        <v>610</v>
      </c>
      <c r="J6" s="1340" t="s">
        <v>609</v>
      </c>
      <c r="K6" s="1339"/>
      <c r="L6" s="1343"/>
      <c r="M6" s="1342"/>
      <c r="N6" s="1440"/>
      <c r="O6" s="1341" t="s">
        <v>610</v>
      </c>
      <c r="P6" s="1340" t="s">
        <v>609</v>
      </c>
      <c r="Q6" s="1339"/>
      <c r="R6" s="1338"/>
      <c r="S6" s="1337" t="s">
        <v>608</v>
      </c>
      <c r="T6" s="1336" t="s">
        <v>607</v>
      </c>
      <c r="U6" s="1335"/>
      <c r="V6" s="1334"/>
      <c r="W6" s="1334"/>
      <c r="X6" s="1333"/>
      <c r="Y6" s="1332"/>
      <c r="AB6" s="1329" t="s">
        <v>606</v>
      </c>
      <c r="AC6" s="1328" t="s">
        <v>605</v>
      </c>
      <c r="AD6" s="1328" t="s">
        <v>604</v>
      </c>
      <c r="AE6" s="1327" t="s">
        <v>603</v>
      </c>
      <c r="AF6" s="1331" t="s">
        <v>606</v>
      </c>
      <c r="AG6" s="1328" t="s">
        <v>605</v>
      </c>
      <c r="AH6" s="1328" t="s">
        <v>604</v>
      </c>
      <c r="AI6" s="1327" t="s">
        <v>603</v>
      </c>
      <c r="AJ6" s="1331" t="s">
        <v>606</v>
      </c>
      <c r="AK6" s="1328" t="s">
        <v>605</v>
      </c>
      <c r="AL6" s="1328" t="s">
        <v>604</v>
      </c>
      <c r="AM6" s="1330" t="s">
        <v>603</v>
      </c>
      <c r="AN6" s="1329" t="s">
        <v>606</v>
      </c>
      <c r="AO6" s="1328" t="s">
        <v>605</v>
      </c>
      <c r="AP6" s="1328" t="s">
        <v>604</v>
      </c>
      <c r="AQ6" s="1327" t="s">
        <v>603</v>
      </c>
      <c r="AS6" s="1326"/>
      <c r="AT6" s="1325"/>
    </row>
    <row r="7" spans="1:46" ht="13.5" customHeight="1">
      <c r="A7" s="1324">
        <v>2</v>
      </c>
      <c r="B7" s="1323">
        <v>201</v>
      </c>
      <c r="C7" s="1322" t="s">
        <v>347</v>
      </c>
      <c r="D7" s="1321">
        <v>54.8</v>
      </c>
      <c r="E7" s="1320">
        <v>2.8</v>
      </c>
      <c r="F7" s="1319">
        <v>153.5</v>
      </c>
      <c r="G7" s="1318" t="s">
        <v>638</v>
      </c>
      <c r="H7" s="1311">
        <v>6263</v>
      </c>
      <c r="I7" s="1310"/>
      <c r="J7" s="1308">
        <v>6263</v>
      </c>
      <c r="K7" s="1310">
        <v>318</v>
      </c>
      <c r="L7" s="1317">
        <v>6581</v>
      </c>
      <c r="M7" s="1316"/>
      <c r="N7" s="1310">
        <v>6289</v>
      </c>
      <c r="O7" s="1310"/>
      <c r="P7" s="1308">
        <v>6289</v>
      </c>
      <c r="Q7" s="1315">
        <v>0</v>
      </c>
      <c r="R7" s="1314">
        <v>6289</v>
      </c>
      <c r="S7" s="1313">
        <v>8.09</v>
      </c>
      <c r="T7" s="1312">
        <v>8.120000000000001</v>
      </c>
      <c r="U7" s="1311">
        <v>180</v>
      </c>
      <c r="V7" s="1310">
        <v>2310</v>
      </c>
      <c r="W7" s="1309">
        <v>2310</v>
      </c>
      <c r="X7" s="1308">
        <v>2310</v>
      </c>
      <c r="Y7" s="1307">
        <v>15</v>
      </c>
      <c r="AB7" s="1275">
        <v>26</v>
      </c>
      <c r="AC7" s="1275">
        <v>50</v>
      </c>
      <c r="AD7" s="1275">
        <v>53</v>
      </c>
      <c r="AE7" s="1275">
        <v>10.5</v>
      </c>
      <c r="AF7" s="1275">
        <v>22</v>
      </c>
      <c r="AG7" s="1275">
        <v>40</v>
      </c>
      <c r="AH7" s="1275">
        <v>38.9</v>
      </c>
      <c r="AI7" s="1275">
        <v>6.6</v>
      </c>
      <c r="AJ7" s="1275">
        <v>26</v>
      </c>
      <c r="AK7" s="1275">
        <v>50</v>
      </c>
      <c r="AL7" s="1275">
        <v>53.2</v>
      </c>
      <c r="AM7" s="1275">
        <v>10.6</v>
      </c>
      <c r="AN7" s="1275">
        <v>22</v>
      </c>
      <c r="AO7" s="1275">
        <v>40</v>
      </c>
      <c r="AP7" s="1275">
        <v>38.9</v>
      </c>
      <c r="AQ7" s="1275">
        <v>6.6</v>
      </c>
      <c r="AS7" s="1273">
        <v>2310.0700000000002</v>
      </c>
      <c r="AT7" s="1273">
        <v>2310</v>
      </c>
    </row>
    <row r="8" spans="1:46" ht="13.5" customHeight="1">
      <c r="A8" s="1306">
        <v>2</v>
      </c>
      <c r="B8" s="1305">
        <v>204</v>
      </c>
      <c r="C8" s="1304" t="s">
        <v>531</v>
      </c>
      <c r="D8" s="1303">
        <v>13.2</v>
      </c>
      <c r="E8" s="1302">
        <v>2.8</v>
      </c>
      <c r="F8" s="1301">
        <v>37</v>
      </c>
      <c r="G8" s="1300" t="s">
        <v>639</v>
      </c>
      <c r="H8" s="1293">
        <v>980</v>
      </c>
      <c r="I8" s="1292"/>
      <c r="J8" s="1290">
        <v>980</v>
      </c>
      <c r="K8" s="1292">
        <v>212</v>
      </c>
      <c r="L8" s="1299">
        <v>1192</v>
      </c>
      <c r="M8" s="1298"/>
      <c r="N8" s="1292">
        <v>1850</v>
      </c>
      <c r="O8" s="1292"/>
      <c r="P8" s="1290">
        <v>1850</v>
      </c>
      <c r="Q8" s="1297">
        <v>0</v>
      </c>
      <c r="R8" s="1296">
        <v>1850</v>
      </c>
      <c r="S8" s="1295">
        <v>10.8</v>
      </c>
      <c r="T8" s="1294">
        <v>18.049999999999997</v>
      </c>
      <c r="U8" s="1293">
        <v>120</v>
      </c>
      <c r="V8" s="1292">
        <v>270</v>
      </c>
      <c r="W8" s="1291"/>
      <c r="X8" s="1290">
        <v>270</v>
      </c>
      <c r="Y8" s="1289">
        <v>7.3</v>
      </c>
      <c r="AB8" s="1275">
        <v>26</v>
      </c>
      <c r="AC8" s="1275">
        <v>50</v>
      </c>
      <c r="AD8" s="1275">
        <v>53</v>
      </c>
      <c r="AE8" s="1275">
        <v>10.5</v>
      </c>
      <c r="AF8" s="1275">
        <v>22</v>
      </c>
      <c r="AG8" s="1275">
        <v>40</v>
      </c>
      <c r="AH8" s="1275">
        <v>38.9</v>
      </c>
      <c r="AI8" s="1275">
        <v>6.6</v>
      </c>
      <c r="AJ8" s="1275">
        <v>26</v>
      </c>
      <c r="AK8" s="1275">
        <v>49</v>
      </c>
      <c r="AL8" s="1275">
        <v>52.7</v>
      </c>
      <c r="AM8" s="1275">
        <v>10.4</v>
      </c>
      <c r="AN8" s="1275">
        <v>19.600000000000001</v>
      </c>
      <c r="AO8" s="1275">
        <v>46</v>
      </c>
      <c r="AP8" s="1275">
        <v>36.5</v>
      </c>
      <c r="AQ8" s="1275">
        <v>6.6</v>
      </c>
      <c r="AS8" s="1273">
        <v>270.5</v>
      </c>
      <c r="AT8" s="1273">
        <v>270.5</v>
      </c>
    </row>
    <row r="9" spans="1:46" ht="13.5" customHeight="1">
      <c r="A9" s="1306">
        <v>2</v>
      </c>
      <c r="B9" s="1305">
        <v>205</v>
      </c>
      <c r="C9" s="1304" t="s">
        <v>557</v>
      </c>
      <c r="D9" s="1303">
        <v>13.2</v>
      </c>
      <c r="E9" s="1302">
        <v>2.8</v>
      </c>
      <c r="F9" s="1301">
        <v>37</v>
      </c>
      <c r="G9" s="1300" t="s">
        <v>639</v>
      </c>
      <c r="H9" s="1293">
        <v>1157</v>
      </c>
      <c r="I9" s="1292"/>
      <c r="J9" s="1290">
        <v>1157</v>
      </c>
      <c r="K9" s="1292">
        <v>212</v>
      </c>
      <c r="L9" s="1299">
        <v>1369</v>
      </c>
      <c r="M9" s="1298"/>
      <c r="N9" s="1292">
        <v>2006</v>
      </c>
      <c r="O9" s="1292"/>
      <c r="P9" s="1290">
        <v>2006</v>
      </c>
      <c r="Q9" s="1297">
        <v>0</v>
      </c>
      <c r="R9" s="1296">
        <v>2006</v>
      </c>
      <c r="S9" s="1295">
        <v>10.8</v>
      </c>
      <c r="T9" s="1294">
        <v>18.049999999999997</v>
      </c>
      <c r="U9" s="1293">
        <v>120</v>
      </c>
      <c r="V9" s="1292">
        <v>320</v>
      </c>
      <c r="W9" s="1291"/>
      <c r="X9" s="1290">
        <v>320</v>
      </c>
      <c r="Y9" s="1289">
        <v>8.6</v>
      </c>
      <c r="AB9" s="1275">
        <v>26</v>
      </c>
      <c r="AC9" s="1275">
        <v>50</v>
      </c>
      <c r="AD9" s="1275">
        <v>53</v>
      </c>
      <c r="AE9" s="1275">
        <v>10.5</v>
      </c>
      <c r="AF9" s="1275">
        <v>22</v>
      </c>
      <c r="AG9" s="1275">
        <v>40</v>
      </c>
      <c r="AH9" s="1275">
        <v>38.9</v>
      </c>
      <c r="AI9" s="1275">
        <v>6.6</v>
      </c>
      <c r="AJ9" s="1275">
        <v>26</v>
      </c>
      <c r="AK9" s="1275">
        <v>49</v>
      </c>
      <c r="AL9" s="1275">
        <v>52.7</v>
      </c>
      <c r="AM9" s="1275">
        <v>10.4</v>
      </c>
      <c r="AN9" s="1275">
        <v>21.4</v>
      </c>
      <c r="AO9" s="1275">
        <v>42</v>
      </c>
      <c r="AP9" s="1275">
        <v>38.200000000000003</v>
      </c>
      <c r="AQ9" s="1275">
        <v>6.6</v>
      </c>
      <c r="AS9" s="1273">
        <v>319.35000000000002</v>
      </c>
      <c r="AT9" s="1273">
        <v>319.35000000000002</v>
      </c>
    </row>
    <row r="10" spans="1:46" ht="13.5" customHeight="1">
      <c r="A10" s="1306">
        <v>2</v>
      </c>
      <c r="B10" s="1305">
        <v>208</v>
      </c>
      <c r="C10" s="1304" t="s">
        <v>588</v>
      </c>
      <c r="D10" s="1303">
        <v>53.3</v>
      </c>
      <c r="E10" s="1302">
        <v>2.8</v>
      </c>
      <c r="F10" s="1301">
        <v>149.30000000000001</v>
      </c>
      <c r="G10" s="1300" t="s">
        <v>639</v>
      </c>
      <c r="H10" s="1293">
        <v>3620</v>
      </c>
      <c r="I10" s="1292"/>
      <c r="J10" s="1290">
        <v>3620</v>
      </c>
      <c r="K10" s="1292">
        <v>136</v>
      </c>
      <c r="L10" s="1299">
        <v>3756</v>
      </c>
      <c r="M10" s="1298"/>
      <c r="N10" s="1292">
        <v>5770</v>
      </c>
      <c r="O10" s="1292"/>
      <c r="P10" s="1290">
        <v>5770</v>
      </c>
      <c r="Q10" s="1297">
        <v>0</v>
      </c>
      <c r="R10" s="1296">
        <v>5770</v>
      </c>
      <c r="S10" s="1295">
        <v>10.8</v>
      </c>
      <c r="T10" s="1294">
        <v>18.049999999999997</v>
      </c>
      <c r="U10" s="1293">
        <v>110</v>
      </c>
      <c r="V10" s="1292">
        <v>1000</v>
      </c>
      <c r="W10" s="1291"/>
      <c r="X10" s="1290">
        <v>1000</v>
      </c>
      <c r="Y10" s="1289">
        <v>6.7</v>
      </c>
      <c r="AB10" s="1275">
        <v>26</v>
      </c>
      <c r="AC10" s="1275">
        <v>50</v>
      </c>
      <c r="AD10" s="1275">
        <v>53</v>
      </c>
      <c r="AE10" s="1275">
        <v>10.5</v>
      </c>
      <c r="AF10" s="1275">
        <v>22</v>
      </c>
      <c r="AG10" s="1275">
        <v>40</v>
      </c>
      <c r="AH10" s="1275">
        <v>38.9</v>
      </c>
      <c r="AI10" s="1275">
        <v>6.6</v>
      </c>
      <c r="AJ10" s="1275">
        <v>26</v>
      </c>
      <c r="AK10" s="1275">
        <v>49</v>
      </c>
      <c r="AL10" s="1275">
        <v>52.7</v>
      </c>
      <c r="AM10" s="1275">
        <v>10.4</v>
      </c>
      <c r="AN10" s="1275">
        <v>22.8</v>
      </c>
      <c r="AO10" s="1275">
        <v>38</v>
      </c>
      <c r="AP10" s="1275">
        <v>39.700000000000003</v>
      </c>
      <c r="AQ10" s="1275">
        <v>6.6</v>
      </c>
      <c r="AS10" s="1273">
        <v>999.19</v>
      </c>
      <c r="AT10" s="1273">
        <v>999.19</v>
      </c>
    </row>
    <row r="11" spans="1:46" ht="13.5" customHeight="1">
      <c r="A11" s="1306"/>
      <c r="B11" s="1305"/>
      <c r="C11" s="1304"/>
      <c r="D11" s="1303"/>
      <c r="E11" s="1302"/>
      <c r="F11" s="1301"/>
      <c r="G11" s="1300"/>
      <c r="H11" s="1293"/>
      <c r="I11" s="1292"/>
      <c r="J11" s="1290"/>
      <c r="K11" s="1292"/>
      <c r="L11" s="1299"/>
      <c r="M11" s="1298"/>
      <c r="N11" s="1292"/>
      <c r="O11" s="1292"/>
      <c r="P11" s="1290"/>
      <c r="Q11" s="1297"/>
      <c r="R11" s="1296"/>
      <c r="S11" s="1295"/>
      <c r="T11" s="1294"/>
      <c r="U11" s="1293"/>
      <c r="V11" s="1292"/>
      <c r="W11" s="1291"/>
      <c r="X11" s="1290"/>
      <c r="Y11" s="1289"/>
    </row>
    <row r="12" spans="1:46" ht="13.5" customHeight="1">
      <c r="A12" s="1306"/>
      <c r="B12" s="1305"/>
      <c r="C12" s="1304"/>
      <c r="D12" s="1303"/>
      <c r="E12" s="1302"/>
      <c r="F12" s="1301"/>
      <c r="G12" s="1300"/>
      <c r="H12" s="1293"/>
      <c r="I12" s="1292"/>
      <c r="J12" s="1290"/>
      <c r="K12" s="1292"/>
      <c r="L12" s="1299"/>
      <c r="M12" s="1298"/>
      <c r="N12" s="1292"/>
      <c r="O12" s="1292"/>
      <c r="P12" s="1290"/>
      <c r="Q12" s="1297"/>
      <c r="R12" s="1296"/>
      <c r="S12" s="1295"/>
      <c r="T12" s="1294"/>
      <c r="U12" s="1293"/>
      <c r="V12" s="1292"/>
      <c r="W12" s="1291"/>
      <c r="X12" s="1290"/>
      <c r="Y12" s="1289"/>
    </row>
    <row r="13" spans="1:46" ht="13.5" customHeight="1">
      <c r="A13" s="1306"/>
      <c r="B13" s="1305"/>
      <c r="C13" s="1304"/>
      <c r="D13" s="1303"/>
      <c r="E13" s="1302"/>
      <c r="F13" s="1301"/>
      <c r="G13" s="1300"/>
      <c r="H13" s="1293"/>
      <c r="I13" s="1292"/>
      <c r="J13" s="1290"/>
      <c r="K13" s="1292"/>
      <c r="L13" s="1299"/>
      <c r="M13" s="1298"/>
      <c r="N13" s="1292"/>
      <c r="O13" s="1292"/>
      <c r="P13" s="1290"/>
      <c r="Q13" s="1297"/>
      <c r="R13" s="1296"/>
      <c r="S13" s="1295"/>
      <c r="T13" s="1294"/>
      <c r="U13" s="1293"/>
      <c r="V13" s="1292"/>
      <c r="W13" s="1291"/>
      <c r="X13" s="1290"/>
      <c r="Y13" s="1289"/>
    </row>
    <row r="14" spans="1:46" ht="13.5" customHeight="1">
      <c r="A14" s="1306"/>
      <c r="B14" s="1305"/>
      <c r="C14" s="1304"/>
      <c r="D14" s="1303"/>
      <c r="E14" s="1302"/>
      <c r="F14" s="1301"/>
      <c r="G14" s="1300"/>
      <c r="H14" s="1293"/>
      <c r="I14" s="1292"/>
      <c r="J14" s="1290"/>
      <c r="K14" s="1292"/>
      <c r="L14" s="1299"/>
      <c r="M14" s="1298"/>
      <c r="N14" s="1292"/>
      <c r="O14" s="1292"/>
      <c r="P14" s="1290"/>
      <c r="Q14" s="1297"/>
      <c r="R14" s="1296"/>
      <c r="S14" s="1295"/>
      <c r="T14" s="1294"/>
      <c r="U14" s="1293"/>
      <c r="V14" s="1292"/>
      <c r="W14" s="1291"/>
      <c r="X14" s="1290"/>
      <c r="Y14" s="1289"/>
    </row>
    <row r="15" spans="1:46" ht="13.5" customHeight="1">
      <c r="A15" s="1306"/>
      <c r="B15" s="1305"/>
      <c r="C15" s="1304"/>
      <c r="D15" s="1303"/>
      <c r="E15" s="1302"/>
      <c r="F15" s="1301"/>
      <c r="G15" s="1300"/>
      <c r="H15" s="1293"/>
      <c r="I15" s="1292"/>
      <c r="J15" s="1290"/>
      <c r="K15" s="1292"/>
      <c r="L15" s="1299"/>
      <c r="M15" s="1298"/>
      <c r="N15" s="1292"/>
      <c r="O15" s="1292"/>
      <c r="P15" s="1290"/>
      <c r="Q15" s="1297"/>
      <c r="R15" s="1296"/>
      <c r="S15" s="1295"/>
      <c r="T15" s="1294"/>
      <c r="U15" s="1293"/>
      <c r="V15" s="1292"/>
      <c r="W15" s="1291"/>
      <c r="X15" s="1290"/>
      <c r="Y15" s="1289"/>
    </row>
    <row r="16" spans="1:46" ht="13.5" customHeight="1">
      <c r="A16" s="1306"/>
      <c r="B16" s="1305"/>
      <c r="C16" s="1304"/>
      <c r="D16" s="1303"/>
      <c r="E16" s="1302"/>
      <c r="F16" s="1301"/>
      <c r="G16" s="1300"/>
      <c r="H16" s="1293"/>
      <c r="I16" s="1292"/>
      <c r="J16" s="1290"/>
      <c r="K16" s="1292"/>
      <c r="L16" s="1299"/>
      <c r="M16" s="1298"/>
      <c r="N16" s="1292"/>
      <c r="O16" s="1292"/>
      <c r="P16" s="1290"/>
      <c r="Q16" s="1297"/>
      <c r="R16" s="1296"/>
      <c r="S16" s="1295"/>
      <c r="T16" s="1294"/>
      <c r="U16" s="1293"/>
      <c r="V16" s="1292"/>
      <c r="W16" s="1291"/>
      <c r="X16" s="1290"/>
      <c r="Y16" s="1289"/>
    </row>
    <row r="17" spans="1:25" ht="13.5" customHeight="1">
      <c r="A17" s="1306"/>
      <c r="B17" s="1305"/>
      <c r="C17" s="1304"/>
      <c r="D17" s="1303"/>
      <c r="E17" s="1302"/>
      <c r="F17" s="1301"/>
      <c r="G17" s="1300"/>
      <c r="H17" s="1293"/>
      <c r="I17" s="1292"/>
      <c r="J17" s="1290"/>
      <c r="K17" s="1292"/>
      <c r="L17" s="1299"/>
      <c r="M17" s="1298"/>
      <c r="N17" s="1292"/>
      <c r="O17" s="1292"/>
      <c r="P17" s="1290"/>
      <c r="Q17" s="1297"/>
      <c r="R17" s="1296"/>
      <c r="S17" s="1295"/>
      <c r="T17" s="1294"/>
      <c r="U17" s="1293"/>
      <c r="V17" s="1292"/>
      <c r="W17" s="1291"/>
      <c r="X17" s="1290"/>
      <c r="Y17" s="1289"/>
    </row>
    <row r="18" spans="1:25" ht="13.5" customHeight="1">
      <c r="A18" s="1306"/>
      <c r="B18" s="1305"/>
      <c r="C18" s="1304"/>
      <c r="D18" s="1303"/>
      <c r="E18" s="1302"/>
      <c r="F18" s="1301"/>
      <c r="G18" s="1300"/>
      <c r="H18" s="1293"/>
      <c r="I18" s="1292"/>
      <c r="J18" s="1290"/>
      <c r="K18" s="1292"/>
      <c r="L18" s="1299"/>
      <c r="M18" s="1298"/>
      <c r="N18" s="1292"/>
      <c r="O18" s="1292"/>
      <c r="P18" s="1290"/>
      <c r="Q18" s="1297"/>
      <c r="R18" s="1296"/>
      <c r="S18" s="1295"/>
      <c r="T18" s="1294"/>
      <c r="U18" s="1293"/>
      <c r="V18" s="1292"/>
      <c r="W18" s="1291"/>
      <c r="X18" s="1290"/>
      <c r="Y18" s="1289"/>
    </row>
    <row r="19" spans="1:25" ht="13.5" customHeight="1">
      <c r="A19" s="1306"/>
      <c r="B19" s="1305"/>
      <c r="C19" s="1304"/>
      <c r="D19" s="1303"/>
      <c r="E19" s="1302"/>
      <c r="F19" s="1301"/>
      <c r="G19" s="1300"/>
      <c r="H19" s="1293"/>
      <c r="I19" s="1292"/>
      <c r="J19" s="1290"/>
      <c r="K19" s="1292"/>
      <c r="L19" s="1299"/>
      <c r="M19" s="1298"/>
      <c r="N19" s="1292"/>
      <c r="O19" s="1292"/>
      <c r="P19" s="1290"/>
      <c r="Q19" s="1297"/>
      <c r="R19" s="1296"/>
      <c r="S19" s="1295"/>
      <c r="T19" s="1294"/>
      <c r="U19" s="1293"/>
      <c r="V19" s="1292"/>
      <c r="W19" s="1291"/>
      <c r="X19" s="1290"/>
      <c r="Y19" s="1289"/>
    </row>
    <row r="20" spans="1:25" ht="13.5" customHeight="1">
      <c r="A20" s="1306"/>
      <c r="B20" s="1305"/>
      <c r="C20" s="1304"/>
      <c r="D20" s="1303"/>
      <c r="E20" s="1302"/>
      <c r="F20" s="1301"/>
      <c r="G20" s="1300"/>
      <c r="H20" s="1293"/>
      <c r="I20" s="1292"/>
      <c r="J20" s="1290"/>
      <c r="K20" s="1292"/>
      <c r="L20" s="1299"/>
      <c r="M20" s="1298"/>
      <c r="N20" s="1292"/>
      <c r="O20" s="1292"/>
      <c r="P20" s="1290"/>
      <c r="Q20" s="1297"/>
      <c r="R20" s="1296"/>
      <c r="S20" s="1295"/>
      <c r="T20" s="1294"/>
      <c r="U20" s="1293"/>
      <c r="V20" s="1292"/>
      <c r="W20" s="1291"/>
      <c r="X20" s="1290"/>
      <c r="Y20" s="1289"/>
    </row>
    <row r="21" spans="1:25" ht="13.5" customHeight="1">
      <c r="A21" s="1306"/>
      <c r="B21" s="1305"/>
      <c r="C21" s="1304"/>
      <c r="D21" s="1303"/>
      <c r="E21" s="1302"/>
      <c r="F21" s="1301"/>
      <c r="G21" s="1300"/>
      <c r="H21" s="1293"/>
      <c r="I21" s="1292"/>
      <c r="J21" s="1290"/>
      <c r="K21" s="1292"/>
      <c r="L21" s="1299"/>
      <c r="M21" s="1298"/>
      <c r="N21" s="1292"/>
      <c r="O21" s="1292"/>
      <c r="P21" s="1290"/>
      <c r="Q21" s="1297"/>
      <c r="R21" s="1296"/>
      <c r="S21" s="1295"/>
      <c r="T21" s="1294"/>
      <c r="U21" s="1293"/>
      <c r="V21" s="1292"/>
      <c r="W21" s="1291"/>
      <c r="X21" s="1290"/>
      <c r="Y21" s="1289"/>
    </row>
    <row r="22" spans="1:25" ht="13.5" customHeight="1">
      <c r="A22" s="1306"/>
      <c r="B22" s="1305"/>
      <c r="C22" s="1304"/>
      <c r="D22" s="1303"/>
      <c r="E22" s="1302"/>
      <c r="F22" s="1301"/>
      <c r="G22" s="1300"/>
      <c r="H22" s="1293"/>
      <c r="I22" s="1292"/>
      <c r="J22" s="1290"/>
      <c r="K22" s="1292"/>
      <c r="L22" s="1299"/>
      <c r="M22" s="1298"/>
      <c r="N22" s="1292"/>
      <c r="O22" s="1292"/>
      <c r="P22" s="1290"/>
      <c r="Q22" s="1297"/>
      <c r="R22" s="1296"/>
      <c r="S22" s="1295"/>
      <c r="T22" s="1294"/>
      <c r="U22" s="1293"/>
      <c r="V22" s="1292"/>
      <c r="W22" s="1291"/>
      <c r="X22" s="1290"/>
      <c r="Y22" s="1289"/>
    </row>
    <row r="23" spans="1:25" ht="13.5" customHeight="1">
      <c r="A23" s="1306"/>
      <c r="B23" s="1305"/>
      <c r="C23" s="1304"/>
      <c r="D23" s="1303"/>
      <c r="E23" s="1302"/>
      <c r="F23" s="1301"/>
      <c r="G23" s="1300"/>
      <c r="H23" s="1293"/>
      <c r="I23" s="1292"/>
      <c r="J23" s="1290"/>
      <c r="K23" s="1292"/>
      <c r="L23" s="1299"/>
      <c r="M23" s="1298"/>
      <c r="N23" s="1292"/>
      <c r="O23" s="1292"/>
      <c r="P23" s="1290"/>
      <c r="Q23" s="1297"/>
      <c r="R23" s="1296"/>
      <c r="S23" s="1295"/>
      <c r="T23" s="1294"/>
      <c r="U23" s="1293"/>
      <c r="V23" s="1292"/>
      <c r="W23" s="1291"/>
      <c r="X23" s="1290"/>
      <c r="Y23" s="1289"/>
    </row>
    <row r="24" spans="1:25" ht="13.5" customHeight="1">
      <c r="A24" s="1306"/>
      <c r="B24" s="1305"/>
      <c r="C24" s="1304"/>
      <c r="D24" s="1303"/>
      <c r="E24" s="1302"/>
      <c r="F24" s="1301"/>
      <c r="G24" s="1300"/>
      <c r="H24" s="1293"/>
      <c r="I24" s="1292"/>
      <c r="J24" s="1290"/>
      <c r="K24" s="1292"/>
      <c r="L24" s="1299"/>
      <c r="M24" s="1298"/>
      <c r="N24" s="1292"/>
      <c r="O24" s="1292"/>
      <c r="P24" s="1290"/>
      <c r="Q24" s="1297"/>
      <c r="R24" s="1296"/>
      <c r="S24" s="1295"/>
      <c r="T24" s="1294"/>
      <c r="U24" s="1293"/>
      <c r="V24" s="1292"/>
      <c r="W24" s="1291"/>
      <c r="X24" s="1290"/>
      <c r="Y24" s="1289"/>
    </row>
    <row r="25" spans="1:25" ht="13.5" customHeight="1">
      <c r="A25" s="1306"/>
      <c r="B25" s="1305"/>
      <c r="C25" s="1304"/>
      <c r="D25" s="1303"/>
      <c r="E25" s="1302"/>
      <c r="F25" s="1301"/>
      <c r="G25" s="1300"/>
      <c r="H25" s="1293"/>
      <c r="I25" s="1292"/>
      <c r="J25" s="1290"/>
      <c r="K25" s="1292"/>
      <c r="L25" s="1299"/>
      <c r="M25" s="1298"/>
      <c r="N25" s="1292"/>
      <c r="O25" s="1292"/>
      <c r="P25" s="1290"/>
      <c r="Q25" s="1297"/>
      <c r="R25" s="1296"/>
      <c r="S25" s="1295"/>
      <c r="T25" s="1294"/>
      <c r="U25" s="1293"/>
      <c r="V25" s="1292"/>
      <c r="W25" s="1291"/>
      <c r="X25" s="1290"/>
      <c r="Y25" s="1289"/>
    </row>
    <row r="26" spans="1:25" ht="13.5" customHeight="1">
      <c r="A26" s="1306"/>
      <c r="B26" s="1305"/>
      <c r="C26" s="1304"/>
      <c r="D26" s="1303"/>
      <c r="E26" s="1302"/>
      <c r="F26" s="1301"/>
      <c r="G26" s="1300"/>
      <c r="H26" s="1293"/>
      <c r="I26" s="1292"/>
      <c r="J26" s="1290"/>
      <c r="K26" s="1292"/>
      <c r="L26" s="1299"/>
      <c r="M26" s="1298"/>
      <c r="N26" s="1292"/>
      <c r="O26" s="1292"/>
      <c r="P26" s="1290"/>
      <c r="Q26" s="1297"/>
      <c r="R26" s="1296"/>
      <c r="S26" s="1295"/>
      <c r="T26" s="1294"/>
      <c r="U26" s="1293"/>
      <c r="V26" s="1292"/>
      <c r="W26" s="1291"/>
      <c r="X26" s="1290"/>
      <c r="Y26" s="1289"/>
    </row>
    <row r="27" spans="1:25" ht="13.5" customHeight="1">
      <c r="A27" s="1306"/>
      <c r="B27" s="1305"/>
      <c r="C27" s="1304"/>
      <c r="D27" s="1303"/>
      <c r="E27" s="1302"/>
      <c r="F27" s="1301"/>
      <c r="G27" s="1300"/>
      <c r="H27" s="1293"/>
      <c r="I27" s="1292"/>
      <c r="J27" s="1290"/>
      <c r="K27" s="1292"/>
      <c r="L27" s="1299"/>
      <c r="M27" s="1298"/>
      <c r="N27" s="1292"/>
      <c r="O27" s="1292"/>
      <c r="P27" s="1290"/>
      <c r="Q27" s="1297"/>
      <c r="R27" s="1296"/>
      <c r="S27" s="1295"/>
      <c r="T27" s="1294"/>
      <c r="U27" s="1293"/>
      <c r="V27" s="1292"/>
      <c r="W27" s="1291"/>
      <c r="X27" s="1290"/>
      <c r="Y27" s="1289"/>
    </row>
    <row r="28" spans="1:25" ht="13.5" customHeight="1">
      <c r="A28" s="1306"/>
      <c r="B28" s="1305"/>
      <c r="C28" s="1304"/>
      <c r="D28" s="1303"/>
      <c r="E28" s="1302"/>
      <c r="F28" s="1301"/>
      <c r="G28" s="1300"/>
      <c r="H28" s="1293"/>
      <c r="I28" s="1292"/>
      <c r="J28" s="1290"/>
      <c r="K28" s="1292"/>
      <c r="L28" s="1299"/>
      <c r="M28" s="1298"/>
      <c r="N28" s="1292"/>
      <c r="O28" s="1292"/>
      <c r="P28" s="1290"/>
      <c r="Q28" s="1297"/>
      <c r="R28" s="1296"/>
      <c r="S28" s="1295"/>
      <c r="T28" s="1294"/>
      <c r="U28" s="1293"/>
      <c r="V28" s="1292"/>
      <c r="W28" s="1291"/>
      <c r="X28" s="1290"/>
      <c r="Y28" s="1289"/>
    </row>
    <row r="29" spans="1:25" ht="13.5" customHeight="1">
      <c r="A29" s="1306"/>
      <c r="B29" s="1305"/>
      <c r="C29" s="1304"/>
      <c r="D29" s="1303"/>
      <c r="E29" s="1302"/>
      <c r="F29" s="1301"/>
      <c r="G29" s="1300"/>
      <c r="H29" s="1293"/>
      <c r="I29" s="1292"/>
      <c r="J29" s="1290"/>
      <c r="K29" s="1292"/>
      <c r="L29" s="1299"/>
      <c r="M29" s="1298"/>
      <c r="N29" s="1292"/>
      <c r="O29" s="1292"/>
      <c r="P29" s="1290"/>
      <c r="Q29" s="1297"/>
      <c r="R29" s="1296"/>
      <c r="S29" s="1295"/>
      <c r="T29" s="1294"/>
      <c r="U29" s="1293"/>
      <c r="V29" s="1292"/>
      <c r="W29" s="1291"/>
      <c r="X29" s="1290"/>
      <c r="Y29" s="1289"/>
    </row>
    <row r="30" spans="1:25" ht="13.5" customHeight="1">
      <c r="A30" s="1306"/>
      <c r="B30" s="1305"/>
      <c r="C30" s="1304"/>
      <c r="D30" s="1303"/>
      <c r="E30" s="1302"/>
      <c r="F30" s="1301"/>
      <c r="G30" s="1300"/>
      <c r="H30" s="1293"/>
      <c r="I30" s="1292"/>
      <c r="J30" s="1290"/>
      <c r="K30" s="1292"/>
      <c r="L30" s="1299"/>
      <c r="M30" s="1298"/>
      <c r="N30" s="1292"/>
      <c r="O30" s="1292"/>
      <c r="P30" s="1290"/>
      <c r="Q30" s="1297"/>
      <c r="R30" s="1296"/>
      <c r="S30" s="1295"/>
      <c r="T30" s="1294"/>
      <c r="U30" s="1293"/>
      <c r="V30" s="1292"/>
      <c r="W30" s="1291"/>
      <c r="X30" s="1290"/>
      <c r="Y30" s="1289"/>
    </row>
    <row r="31" spans="1:25" ht="13.5" customHeight="1">
      <c r="A31" s="1306"/>
      <c r="B31" s="1305"/>
      <c r="C31" s="1304"/>
      <c r="D31" s="1303"/>
      <c r="E31" s="1302"/>
      <c r="F31" s="1301"/>
      <c r="G31" s="1300"/>
      <c r="H31" s="1293"/>
      <c r="I31" s="1292"/>
      <c r="J31" s="1290"/>
      <c r="K31" s="1292"/>
      <c r="L31" s="1299"/>
      <c r="M31" s="1298"/>
      <c r="N31" s="1292"/>
      <c r="O31" s="1292"/>
      <c r="P31" s="1290"/>
      <c r="Q31" s="1297"/>
      <c r="R31" s="1296"/>
      <c r="S31" s="1295"/>
      <c r="T31" s="1294"/>
      <c r="U31" s="1293"/>
      <c r="V31" s="1292"/>
      <c r="W31" s="1291"/>
      <c r="X31" s="1290"/>
      <c r="Y31" s="1289"/>
    </row>
    <row r="32" spans="1:25" ht="13.5" customHeight="1">
      <c r="A32" s="1306"/>
      <c r="B32" s="1305"/>
      <c r="C32" s="1304"/>
      <c r="D32" s="1303"/>
      <c r="E32" s="1302"/>
      <c r="F32" s="1301"/>
      <c r="G32" s="1300"/>
      <c r="H32" s="1293"/>
      <c r="I32" s="1292"/>
      <c r="J32" s="1290"/>
      <c r="K32" s="1292"/>
      <c r="L32" s="1299"/>
      <c r="M32" s="1298"/>
      <c r="N32" s="1292"/>
      <c r="O32" s="1292"/>
      <c r="P32" s="1290"/>
      <c r="Q32" s="1297"/>
      <c r="R32" s="1296"/>
      <c r="S32" s="1295"/>
      <c r="T32" s="1294"/>
      <c r="U32" s="1293"/>
      <c r="V32" s="1292"/>
      <c r="W32" s="1291"/>
      <c r="X32" s="1290"/>
      <c r="Y32" s="1289"/>
    </row>
    <row r="33" spans="1:25" ht="13.5" customHeight="1">
      <c r="A33" s="1306"/>
      <c r="B33" s="1305"/>
      <c r="C33" s="1304"/>
      <c r="D33" s="1303"/>
      <c r="E33" s="1302"/>
      <c r="F33" s="1301"/>
      <c r="G33" s="1300"/>
      <c r="H33" s="1293"/>
      <c r="I33" s="1292"/>
      <c r="J33" s="1290"/>
      <c r="K33" s="1292"/>
      <c r="L33" s="1299"/>
      <c r="M33" s="1298"/>
      <c r="N33" s="1292"/>
      <c r="O33" s="1292"/>
      <c r="P33" s="1290"/>
      <c r="Q33" s="1297"/>
      <c r="R33" s="1296"/>
      <c r="S33" s="1295"/>
      <c r="T33" s="1294"/>
      <c r="U33" s="1293"/>
      <c r="V33" s="1292"/>
      <c r="W33" s="1291"/>
      <c r="X33" s="1290"/>
      <c r="Y33" s="1289"/>
    </row>
    <row r="34" spans="1:25" ht="13.5" customHeight="1">
      <c r="A34" s="1306"/>
      <c r="B34" s="1305"/>
      <c r="C34" s="1304"/>
      <c r="D34" s="1303"/>
      <c r="E34" s="1302"/>
      <c r="F34" s="1301"/>
      <c r="G34" s="1300"/>
      <c r="H34" s="1293"/>
      <c r="I34" s="1292"/>
      <c r="J34" s="1290"/>
      <c r="K34" s="1292"/>
      <c r="L34" s="1299"/>
      <c r="M34" s="1298"/>
      <c r="N34" s="1292"/>
      <c r="O34" s="1292"/>
      <c r="P34" s="1290"/>
      <c r="Q34" s="1297"/>
      <c r="R34" s="1296"/>
      <c r="S34" s="1295"/>
      <c r="T34" s="1294"/>
      <c r="U34" s="1293"/>
      <c r="V34" s="1292"/>
      <c r="W34" s="1291"/>
      <c r="X34" s="1290"/>
      <c r="Y34" s="1289"/>
    </row>
    <row r="35" spans="1:25" ht="13.5" customHeight="1">
      <c r="A35" s="1306"/>
      <c r="B35" s="1305"/>
      <c r="C35" s="1304"/>
      <c r="D35" s="1303"/>
      <c r="E35" s="1302"/>
      <c r="F35" s="1301"/>
      <c r="G35" s="1300"/>
      <c r="H35" s="1293"/>
      <c r="I35" s="1292"/>
      <c r="J35" s="1290"/>
      <c r="K35" s="1292"/>
      <c r="L35" s="1299"/>
      <c r="M35" s="1298"/>
      <c r="N35" s="1292"/>
      <c r="O35" s="1292"/>
      <c r="P35" s="1290"/>
      <c r="Q35" s="1297"/>
      <c r="R35" s="1296"/>
      <c r="S35" s="1295"/>
      <c r="T35" s="1294"/>
      <c r="U35" s="1293"/>
      <c r="V35" s="1292"/>
      <c r="W35" s="1291"/>
      <c r="X35" s="1290"/>
      <c r="Y35" s="1289"/>
    </row>
    <row r="36" spans="1:25" ht="13.5" customHeight="1" thickBot="1">
      <c r="A36" s="1409"/>
      <c r="B36" s="1410"/>
      <c r="C36" s="1411"/>
      <c r="D36" s="1412"/>
      <c r="E36" s="1413"/>
      <c r="F36" s="1414"/>
      <c r="G36" s="1415"/>
      <c r="H36" s="1416"/>
      <c r="I36" s="1417"/>
      <c r="J36" s="1418"/>
      <c r="K36" s="1417"/>
      <c r="L36" s="1419"/>
      <c r="M36" s="1420"/>
      <c r="N36" s="1417"/>
      <c r="O36" s="1417"/>
      <c r="P36" s="1418"/>
      <c r="Q36" s="1421"/>
      <c r="R36" s="1422"/>
      <c r="S36" s="1423"/>
      <c r="T36" s="1424"/>
      <c r="U36" s="1416"/>
      <c r="V36" s="1417"/>
      <c r="W36" s="1425"/>
      <c r="X36" s="1418"/>
      <c r="Y36" s="1426"/>
    </row>
    <row r="37" spans="1:25" ht="18.95" customHeight="1" thickTop="1">
      <c r="A37" s="1435" t="s">
        <v>640</v>
      </c>
      <c r="B37" s="1436"/>
      <c r="C37" s="1437"/>
      <c r="D37" s="1427">
        <v>134.5</v>
      </c>
      <c r="E37" s="1428"/>
      <c r="F37" s="1428">
        <v>376.8</v>
      </c>
      <c r="G37" s="1429"/>
      <c r="H37" s="1430">
        <v>12020</v>
      </c>
      <c r="I37" s="1431">
        <v>0</v>
      </c>
      <c r="J37" s="1431">
        <v>12020</v>
      </c>
      <c r="K37" s="1431">
        <v>878</v>
      </c>
      <c r="L37" s="1431">
        <v>12898</v>
      </c>
      <c r="M37" s="1430">
        <v>0</v>
      </c>
      <c r="N37" s="1430">
        <v>15915</v>
      </c>
      <c r="O37" s="1431">
        <v>0</v>
      </c>
      <c r="P37" s="1431">
        <v>15915</v>
      </c>
      <c r="Q37" s="1431">
        <v>0</v>
      </c>
      <c r="R37" s="1431">
        <v>15915</v>
      </c>
      <c r="S37" s="1432"/>
      <c r="T37" s="1433"/>
      <c r="U37" s="1430">
        <v>530</v>
      </c>
      <c r="V37" s="1431">
        <v>3900</v>
      </c>
      <c r="W37" s="1431">
        <v>2310</v>
      </c>
      <c r="X37" s="1431">
        <v>3900</v>
      </c>
      <c r="Y37" s="1434"/>
    </row>
    <row r="38" spans="1:25" ht="13.5" customHeight="1">
      <c r="A38" s="1276" t="s">
        <v>701</v>
      </c>
      <c r="C38" s="1276" t="s">
        <v>702</v>
      </c>
      <c r="M38" s="1276" t="s">
        <v>703</v>
      </c>
    </row>
    <row r="39" spans="1:25" ht="13.5" customHeight="1">
      <c r="C39" s="1276" t="s">
        <v>704</v>
      </c>
      <c r="M39" s="1276" t="s">
        <v>705</v>
      </c>
    </row>
    <row r="40" spans="1:25" ht="13.5" customHeight="1">
      <c r="C40" s="1276" t="s">
        <v>706</v>
      </c>
      <c r="M40" s="1276" t="s">
        <v>707</v>
      </c>
    </row>
    <row r="41" spans="1:25" ht="13.5" customHeight="1">
      <c r="C41" s="1276" t="s">
        <v>708</v>
      </c>
    </row>
    <row r="42" spans="1:25" ht="13.5" customHeight="1">
      <c r="C42" s="1276" t="s">
        <v>709</v>
      </c>
      <c r="M42" s="1276" t="s">
        <v>710</v>
      </c>
    </row>
    <row r="43" spans="1:25" ht="13.5" customHeight="1">
      <c r="C43" s="1276" t="s">
        <v>711</v>
      </c>
      <c r="M43" s="1276" t="s">
        <v>712</v>
      </c>
    </row>
    <row r="44" spans="1:25" ht="13.5" customHeight="1">
      <c r="C44" s="1276" t="s">
        <v>713</v>
      </c>
    </row>
    <row r="45" spans="1:25" ht="13.5" customHeight="1">
      <c r="C45" s="1276" t="s">
        <v>714</v>
      </c>
    </row>
    <row r="46" spans="1:25" ht="13.5" customHeight="1">
      <c r="C46" s="1276" t="s">
        <v>715</v>
      </c>
    </row>
    <row r="47" spans="1:25" ht="13.5" customHeight="1">
      <c r="C47" s="1276" t="s">
        <v>716</v>
      </c>
    </row>
    <row r="48" spans="1:25" ht="13.5" customHeight="1">
      <c r="C48" s="1276" t="s">
        <v>717</v>
      </c>
    </row>
    <row r="56" spans="3:46" s="1276" customFormat="1" ht="13.5" customHeight="1">
      <c r="C56" s="1283"/>
      <c r="D56" s="1283"/>
      <c r="E56" s="1283"/>
      <c r="F56" s="1283"/>
      <c r="G56" s="1283"/>
      <c r="H56" s="1283"/>
      <c r="J56" s="1280"/>
      <c r="P56" s="1280"/>
      <c r="AB56" s="1279"/>
      <c r="AC56" s="1279"/>
      <c r="AD56" s="1279"/>
      <c r="AE56" s="1279"/>
      <c r="AF56" s="1279"/>
      <c r="AG56" s="1279"/>
      <c r="AH56" s="1279"/>
      <c r="AI56" s="1279"/>
      <c r="AJ56" s="1279"/>
      <c r="AK56" s="1279"/>
      <c r="AL56" s="1279"/>
      <c r="AM56" s="1279"/>
      <c r="AN56" s="1279"/>
      <c r="AO56" s="1279"/>
      <c r="AP56" s="1279"/>
      <c r="AQ56" s="1279"/>
      <c r="AR56" s="1278"/>
      <c r="AS56" s="1277"/>
      <c r="AT56" s="1277"/>
    </row>
    <row r="57" spans="3:46" s="1276" customFormat="1" ht="13.5" customHeight="1">
      <c r="C57" s="1283"/>
      <c r="D57" s="1283"/>
      <c r="E57" s="1283"/>
      <c r="F57" s="1283"/>
      <c r="G57" s="1283"/>
      <c r="H57" s="1283"/>
      <c r="I57" s="1284"/>
      <c r="J57" s="1280"/>
      <c r="O57" s="1284"/>
      <c r="P57" s="1280"/>
      <c r="AB57" s="1279"/>
      <c r="AC57" s="1279"/>
      <c r="AD57" s="1279"/>
      <c r="AE57" s="1279"/>
      <c r="AF57" s="1279"/>
      <c r="AG57" s="1279"/>
      <c r="AH57" s="1279"/>
      <c r="AI57" s="1279"/>
      <c r="AJ57" s="1279"/>
      <c r="AK57" s="1279"/>
      <c r="AL57" s="1279"/>
      <c r="AM57" s="1279"/>
      <c r="AN57" s="1279"/>
      <c r="AO57" s="1279"/>
      <c r="AP57" s="1279"/>
      <c r="AQ57" s="1279"/>
      <c r="AR57" s="1278"/>
      <c r="AS57" s="1277"/>
      <c r="AT57" s="1277"/>
    </row>
    <row r="58" spans="3:46" s="1276" customFormat="1" ht="13.5" customHeight="1">
      <c r="C58" s="1283"/>
      <c r="D58" s="1283"/>
      <c r="E58" s="1283"/>
      <c r="F58" s="1283"/>
      <c r="G58" s="1283"/>
      <c r="H58" s="1283"/>
      <c r="I58" s="1282"/>
      <c r="J58" s="1280"/>
      <c r="O58" s="1282"/>
      <c r="P58" s="1280"/>
      <c r="AB58" s="1279"/>
      <c r="AC58" s="1279"/>
      <c r="AD58" s="1279"/>
      <c r="AE58" s="1279"/>
      <c r="AF58" s="1279"/>
      <c r="AG58" s="1279"/>
      <c r="AH58" s="1279"/>
      <c r="AI58" s="1279"/>
      <c r="AJ58" s="1279"/>
      <c r="AK58" s="1279"/>
      <c r="AL58" s="1279"/>
      <c r="AM58" s="1279"/>
      <c r="AN58" s="1279"/>
      <c r="AO58" s="1279"/>
      <c r="AP58" s="1279"/>
      <c r="AQ58" s="1279"/>
      <c r="AR58" s="1278"/>
      <c r="AS58" s="1277"/>
      <c r="AT58" s="1277"/>
    </row>
    <row r="59" spans="3:46" s="1276" customFormat="1" ht="13.5" customHeight="1">
      <c r="C59" s="1281"/>
      <c r="D59" s="1281"/>
      <c r="E59" s="1281"/>
      <c r="F59" s="1281"/>
      <c r="G59" s="1281"/>
      <c r="H59" s="1281"/>
      <c r="I59" s="1280"/>
      <c r="O59" s="1280"/>
      <c r="AB59" s="1279"/>
      <c r="AC59" s="1279"/>
      <c r="AD59" s="1279"/>
      <c r="AE59" s="1279"/>
      <c r="AF59" s="1279"/>
      <c r="AG59" s="1279"/>
      <c r="AH59" s="1279"/>
      <c r="AI59" s="1279"/>
      <c r="AJ59" s="1279"/>
      <c r="AK59" s="1279"/>
      <c r="AL59" s="1279"/>
      <c r="AM59" s="1279"/>
      <c r="AN59" s="1279"/>
      <c r="AO59" s="1279"/>
      <c r="AP59" s="1279"/>
      <c r="AQ59" s="1279"/>
      <c r="AR59" s="1278"/>
      <c r="AS59" s="1277"/>
      <c r="AT59" s="1277"/>
    </row>
  </sheetData>
  <mergeCells count="33">
    <mergeCell ref="A37:C37"/>
    <mergeCell ref="H5:H6"/>
    <mergeCell ref="N5:N6"/>
    <mergeCell ref="AB2:AI3"/>
    <mergeCell ref="AJ2:AQ3"/>
    <mergeCell ref="AS2:AT4"/>
    <mergeCell ref="A4:A6"/>
    <mergeCell ref="B4:B6"/>
    <mergeCell ref="C4:C6"/>
    <mergeCell ref="D4:D6"/>
    <mergeCell ref="E4:E6"/>
    <mergeCell ref="F4:F6"/>
    <mergeCell ref="G4:G6"/>
    <mergeCell ref="H4:L4"/>
    <mergeCell ref="M4:M6"/>
    <mergeCell ref="N4:R4"/>
    <mergeCell ref="S4:T5"/>
    <mergeCell ref="U4:X4"/>
    <mergeCell ref="Y4:Y6"/>
    <mergeCell ref="U5:U6"/>
    <mergeCell ref="V5:V6"/>
    <mergeCell ref="W5:W6"/>
    <mergeCell ref="X5:X6"/>
    <mergeCell ref="K5:K6"/>
    <mergeCell ref="L5:L6"/>
    <mergeCell ref="Q5:Q6"/>
    <mergeCell ref="R5:R6"/>
    <mergeCell ref="AS5:AS6"/>
    <mergeCell ref="AT5:AT6"/>
    <mergeCell ref="AB4:AE4"/>
    <mergeCell ref="AF4:AI4"/>
    <mergeCell ref="AJ4:AM4"/>
    <mergeCell ref="AN4:AQ4"/>
  </mergeCells>
  <phoneticPr fontId="3"/>
  <printOptions horizontalCentered="1"/>
  <pageMargins left="0.39370078740157483" right="0.39370078740157483" top="0.70866141732283472" bottom="0.47244094488188981" header="0.31496062992125984" footer="0.31496062992125984"/>
  <pageSetup paperSize="9" scale="75" orientation="landscape" horizontalDpi="1200" verticalDpi="1200" r:id="rId1"/>
  <headerFooter scaleWithDoc="0">
    <oddFooter>&amp;C&amp;"ＭＳ Ｐゴシック,標準"&amp;9( &amp;P / &amp;N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11111221264">
    <pageSetUpPr fitToPage="1"/>
  </sheetPr>
  <dimension ref="A1:AH32"/>
  <sheetViews>
    <sheetView showGridLines="0" zoomScaleNormal="100" workbookViewId="0"/>
  </sheetViews>
  <sheetFormatPr defaultColWidth="11.7109375" defaultRowHeight="18" customHeight="1"/>
  <cols>
    <col min="1" max="12" width="9.140625" style="1452" customWidth="1"/>
    <col min="13" max="13" width="2.5703125" style="1452" customWidth="1"/>
    <col min="14" max="16" width="9.140625" style="1452" customWidth="1"/>
    <col min="17" max="18" width="3.7109375" style="1452" customWidth="1"/>
    <col min="19" max="25" width="9.140625" style="1452" customWidth="1"/>
    <col min="26" max="27" width="3.7109375" style="1452" customWidth="1"/>
    <col min="28" max="34" width="9.140625" style="1452" customWidth="1"/>
    <col min="35" max="35" width="3.7109375" style="1452" customWidth="1"/>
    <col min="36" max="16384" width="11.7109375" style="1452"/>
  </cols>
  <sheetData>
    <row r="1" spans="1:34" s="1482" customFormat="1" ht="18" customHeight="1">
      <c r="A1" s="1489" t="s">
        <v>752</v>
      </c>
      <c r="B1" s="1484"/>
      <c r="C1" s="1484"/>
      <c r="D1" s="1484"/>
      <c r="E1" s="1484"/>
      <c r="F1" s="1484"/>
      <c r="G1" s="1484"/>
      <c r="H1" s="1484"/>
      <c r="I1" s="1484"/>
      <c r="J1" s="1484"/>
      <c r="K1" s="1484"/>
      <c r="L1" s="1484"/>
      <c r="M1" s="1484"/>
      <c r="N1" s="1488"/>
      <c r="O1" s="1488"/>
      <c r="P1" s="1487"/>
      <c r="R1" s="1486" t="s">
        <v>788</v>
      </c>
      <c r="S1" s="1485"/>
      <c r="T1" s="1484"/>
      <c r="U1" s="1484"/>
      <c r="V1" s="1484"/>
      <c r="W1" s="1484"/>
      <c r="X1" s="1484"/>
      <c r="Y1" s="1484"/>
      <c r="Z1" s="1484"/>
      <c r="AA1" s="1484"/>
      <c r="AB1" s="1484"/>
      <c r="AC1" s="1484"/>
      <c r="AD1" s="1484"/>
      <c r="AE1" s="1484"/>
      <c r="AF1" s="1484"/>
      <c r="AG1" s="1484"/>
      <c r="AH1" s="1483"/>
    </row>
    <row r="2" spans="1:34" ht="9.75" customHeight="1" thickBot="1">
      <c r="M2" s="1481"/>
      <c r="N2" s="1480"/>
      <c r="O2" s="1480"/>
      <c r="P2" s="1480"/>
    </row>
    <row r="3" spans="1:34" ht="18" customHeight="1" thickBot="1">
      <c r="A3" s="1468"/>
      <c r="B3" s="1479"/>
      <c r="C3" s="1479"/>
      <c r="D3" s="1479"/>
      <c r="E3" s="1479"/>
      <c r="F3" s="1479"/>
      <c r="G3" s="1479"/>
      <c r="H3" s="1479"/>
      <c r="I3" s="1479"/>
      <c r="J3" s="1479"/>
      <c r="K3" s="1479"/>
      <c r="L3" s="1470"/>
      <c r="M3" s="1470"/>
      <c r="N3" s="1478" t="s">
        <v>748</v>
      </c>
      <c r="O3" s="1477"/>
      <c r="P3" s="1476"/>
      <c r="Q3" s="1468"/>
      <c r="R3" s="1492" t="s">
        <v>753</v>
      </c>
      <c r="S3" s="1493"/>
      <c r="T3" s="1493"/>
      <c r="U3" s="1493"/>
      <c r="V3" s="1493"/>
      <c r="W3" s="1493"/>
      <c r="X3" s="1493"/>
      <c r="Y3" s="1493"/>
      <c r="AA3" s="1490" t="s">
        <v>776</v>
      </c>
      <c r="AB3" s="1491"/>
      <c r="AC3" s="1491"/>
      <c r="AD3" s="1491"/>
      <c r="AE3" s="1491"/>
      <c r="AF3" s="1491"/>
      <c r="AG3" s="1491"/>
      <c r="AH3" s="1491"/>
    </row>
    <row r="4" spans="1:34" ht="18" customHeight="1">
      <c r="A4" s="1468"/>
      <c r="B4" s="1468"/>
      <c r="C4" s="1468"/>
      <c r="D4" s="1468"/>
      <c r="E4" s="1468"/>
      <c r="F4" s="1468"/>
      <c r="G4" s="1468"/>
      <c r="H4" s="1468"/>
      <c r="I4" s="1475"/>
      <c r="J4" s="1470"/>
      <c r="K4" s="1475"/>
      <c r="L4" s="1470"/>
      <c r="M4" s="1470"/>
      <c r="N4" s="1459" t="s">
        <v>721</v>
      </c>
      <c r="O4" s="1458"/>
      <c r="P4" s="1457"/>
      <c r="Q4" s="1468"/>
      <c r="S4" s="1494" t="s">
        <v>754</v>
      </c>
      <c r="T4" s="1495"/>
      <c r="U4" s="1495"/>
      <c r="V4" s="1495"/>
      <c r="W4" s="1495"/>
      <c r="X4" s="1495"/>
      <c r="Y4" s="1495"/>
      <c r="AB4" s="1490" t="s">
        <v>777</v>
      </c>
      <c r="AC4" s="1491"/>
      <c r="AD4" s="1491"/>
      <c r="AE4" s="1491"/>
      <c r="AF4" s="1491"/>
      <c r="AG4" s="1491"/>
      <c r="AH4" s="1491"/>
    </row>
    <row r="5" spans="1:34" ht="18" customHeight="1">
      <c r="A5" s="1468"/>
      <c r="B5" s="1468"/>
      <c r="C5" s="1468"/>
      <c r="D5" s="1468"/>
      <c r="E5" s="1468"/>
      <c r="F5" s="1468"/>
      <c r="G5" s="1468"/>
      <c r="H5" s="1468"/>
      <c r="I5" s="1470"/>
      <c r="J5" s="1469"/>
      <c r="K5" s="1470"/>
      <c r="L5" s="1469"/>
      <c r="M5" s="1469"/>
      <c r="N5" s="1459" t="s">
        <v>722</v>
      </c>
      <c r="O5" s="1458"/>
      <c r="P5" s="1457"/>
      <c r="Q5" s="1468"/>
      <c r="S5" s="1490" t="s">
        <v>755</v>
      </c>
      <c r="T5" s="1491"/>
      <c r="U5" s="1491"/>
      <c r="V5" s="1491"/>
      <c r="W5" s="1491"/>
      <c r="X5" s="1491"/>
      <c r="Y5" s="1491"/>
      <c r="AB5" s="1490" t="s">
        <v>778</v>
      </c>
      <c r="AC5" s="1491"/>
      <c r="AD5" s="1491"/>
      <c r="AE5" s="1491"/>
      <c r="AF5" s="1491"/>
      <c r="AG5" s="1491"/>
      <c r="AH5" s="1491"/>
    </row>
    <row r="6" spans="1:34" ht="18" customHeight="1">
      <c r="A6" s="1468"/>
      <c r="B6" s="1468"/>
      <c r="C6" s="1468"/>
      <c r="D6" s="1468"/>
      <c r="E6" s="1468"/>
      <c r="F6" s="1468"/>
      <c r="G6" s="1468"/>
      <c r="H6" s="1468"/>
      <c r="I6" s="1470"/>
      <c r="J6" s="1469"/>
      <c r="K6" s="1470"/>
      <c r="L6" s="1469"/>
      <c r="M6" s="1469"/>
      <c r="N6" s="1459" t="s">
        <v>723</v>
      </c>
      <c r="O6" s="1458"/>
      <c r="P6" s="1457"/>
      <c r="Q6" s="1468"/>
      <c r="S6" s="1490" t="s">
        <v>756</v>
      </c>
      <c r="T6" s="1491"/>
      <c r="U6" s="1491"/>
      <c r="V6" s="1491"/>
      <c r="W6" s="1491"/>
      <c r="X6" s="1491"/>
      <c r="Y6" s="1491"/>
      <c r="AB6" s="1490" t="s">
        <v>720</v>
      </c>
      <c r="AC6" s="1491"/>
      <c r="AD6" s="1491"/>
      <c r="AE6" s="1491"/>
      <c r="AF6" s="1491"/>
      <c r="AG6" s="1491"/>
      <c r="AH6" s="1491"/>
    </row>
    <row r="7" spans="1:34" ht="18" customHeight="1">
      <c r="A7" s="1468"/>
      <c r="B7" s="1468"/>
      <c r="C7" s="1468"/>
      <c r="D7" s="1468"/>
      <c r="E7" s="1468"/>
      <c r="F7" s="1468"/>
      <c r="G7" s="1468"/>
      <c r="H7" s="1468"/>
      <c r="I7" s="1460"/>
      <c r="J7" s="1460"/>
      <c r="K7" s="1460"/>
      <c r="L7" s="1460"/>
      <c r="M7" s="1460"/>
      <c r="N7" s="1459" t="s">
        <v>724</v>
      </c>
      <c r="O7" s="1458"/>
      <c r="P7" s="1457"/>
      <c r="Q7" s="1468"/>
      <c r="S7" s="1490" t="s">
        <v>720</v>
      </c>
      <c r="T7" s="1491"/>
      <c r="U7" s="1491"/>
      <c r="V7" s="1491"/>
      <c r="W7" s="1491"/>
      <c r="X7" s="1491"/>
      <c r="Y7" s="1491"/>
      <c r="AA7" s="1490" t="s">
        <v>779</v>
      </c>
      <c r="AB7" s="1491"/>
      <c r="AC7" s="1491"/>
      <c r="AD7" s="1491"/>
      <c r="AE7" s="1491"/>
      <c r="AF7" s="1491"/>
      <c r="AG7" s="1491"/>
      <c r="AH7" s="1491"/>
    </row>
    <row r="8" spans="1:34" ht="18" customHeight="1" thickBot="1">
      <c r="A8" s="1468"/>
      <c r="B8" s="1468"/>
      <c r="C8" s="1474" t="s">
        <v>719</v>
      </c>
      <c r="D8" s="1473"/>
      <c r="E8" s="1468"/>
      <c r="F8" s="1468"/>
      <c r="G8" s="1468"/>
      <c r="H8" s="1468"/>
      <c r="I8" s="1468"/>
      <c r="J8" s="1468"/>
      <c r="K8" s="1468"/>
      <c r="L8" s="1468"/>
      <c r="M8" s="1468"/>
      <c r="N8" s="1459" t="s">
        <v>725</v>
      </c>
      <c r="O8" s="1458"/>
      <c r="P8" s="1457"/>
      <c r="Q8" s="1468"/>
      <c r="R8" s="1492" t="s">
        <v>757</v>
      </c>
      <c r="S8" s="1493"/>
      <c r="T8" s="1493"/>
      <c r="U8" s="1493"/>
      <c r="V8" s="1493"/>
      <c r="W8" s="1493"/>
      <c r="X8" s="1493"/>
      <c r="Y8" s="1493"/>
      <c r="AB8" s="1490" t="s">
        <v>765</v>
      </c>
      <c r="AC8" s="1491"/>
      <c r="AD8" s="1491"/>
      <c r="AE8" s="1491"/>
      <c r="AF8" s="1491"/>
      <c r="AG8" s="1491"/>
      <c r="AH8" s="1491"/>
    </row>
    <row r="9" spans="1:34" ht="18" customHeight="1" thickBot="1">
      <c r="A9" s="1468"/>
      <c r="B9" s="1468"/>
      <c r="C9" s="1472"/>
      <c r="D9" s="1471"/>
      <c r="E9" s="1468"/>
      <c r="F9" s="1468"/>
      <c r="G9" s="1468"/>
      <c r="H9" s="1468"/>
      <c r="I9" s="1470"/>
      <c r="J9" s="1470"/>
      <c r="K9" s="1470"/>
      <c r="L9" s="1470"/>
      <c r="M9" s="1470"/>
      <c r="N9" s="1459" t="s">
        <v>726</v>
      </c>
      <c r="O9" s="1458"/>
      <c r="P9" s="1457"/>
      <c r="Q9" s="1468"/>
      <c r="R9" s="1497" t="s">
        <v>758</v>
      </c>
      <c r="S9" s="1495"/>
      <c r="T9" s="1495"/>
      <c r="U9" s="1495"/>
      <c r="V9" s="1495"/>
      <c r="W9" s="1495"/>
      <c r="X9" s="1495"/>
      <c r="Y9" s="1495"/>
      <c r="AB9" s="1490" t="s">
        <v>780</v>
      </c>
      <c r="AC9" s="1491"/>
      <c r="AD9" s="1491"/>
      <c r="AE9" s="1491"/>
      <c r="AF9" s="1491"/>
      <c r="AG9" s="1491"/>
      <c r="AH9" s="1491"/>
    </row>
    <row r="10" spans="1:34" ht="18" customHeight="1">
      <c r="A10" s="1468"/>
      <c r="B10" s="1468"/>
      <c r="C10" s="1468"/>
      <c r="D10" s="1468"/>
      <c r="E10" s="1468"/>
      <c r="F10" s="1468"/>
      <c r="G10" s="1468"/>
      <c r="H10" s="1468"/>
      <c r="I10" s="1470"/>
      <c r="M10" s="1470"/>
      <c r="N10" s="1459" t="s">
        <v>727</v>
      </c>
      <c r="O10" s="1458"/>
      <c r="P10" s="1457"/>
      <c r="Q10" s="1468"/>
      <c r="R10" s="1464"/>
      <c r="S10" s="1496" t="s">
        <v>759</v>
      </c>
      <c r="T10" s="1491"/>
      <c r="U10" s="1491"/>
      <c r="V10" s="1491"/>
      <c r="W10" s="1491"/>
      <c r="X10" s="1491"/>
      <c r="Y10" s="1491"/>
      <c r="AB10" s="1490" t="s">
        <v>781</v>
      </c>
      <c r="AC10" s="1491"/>
      <c r="AD10" s="1491"/>
      <c r="AE10" s="1491"/>
      <c r="AF10" s="1491"/>
      <c r="AG10" s="1491"/>
      <c r="AH10" s="1491"/>
    </row>
    <row r="11" spans="1:34" ht="18" customHeight="1">
      <c r="A11" s="1468"/>
      <c r="B11" s="1468"/>
      <c r="C11" s="1468"/>
      <c r="D11" s="1468"/>
      <c r="E11" s="1468"/>
      <c r="F11" s="1468"/>
      <c r="G11" s="1468"/>
      <c r="H11" s="1468"/>
      <c r="I11" s="1470"/>
      <c r="M11" s="1469"/>
      <c r="N11" s="1459" t="s">
        <v>728</v>
      </c>
      <c r="O11" s="1458"/>
      <c r="P11" s="1457"/>
      <c r="Q11" s="1468"/>
      <c r="R11" s="1464"/>
      <c r="S11" s="1496" t="s">
        <v>760</v>
      </c>
      <c r="T11" s="1491"/>
      <c r="U11" s="1491"/>
      <c r="V11" s="1491"/>
      <c r="W11" s="1491"/>
      <c r="X11" s="1491"/>
      <c r="Y11" s="1491"/>
      <c r="AB11" s="1490" t="s">
        <v>720</v>
      </c>
      <c r="AC11" s="1491"/>
      <c r="AD11" s="1491"/>
      <c r="AE11" s="1491"/>
      <c r="AF11" s="1491"/>
      <c r="AG11" s="1491"/>
      <c r="AH11" s="1491"/>
    </row>
    <row r="12" spans="1:34" ht="18" customHeight="1" thickBot="1">
      <c r="A12" s="1468"/>
      <c r="B12" s="1468"/>
      <c r="C12" s="1468"/>
      <c r="D12" s="1468"/>
      <c r="E12" s="1468"/>
      <c r="F12" s="1468"/>
      <c r="G12" s="1468"/>
      <c r="H12" s="1468"/>
      <c r="I12" s="1470"/>
      <c r="M12" s="1469"/>
      <c r="N12" s="1459" t="s">
        <v>729</v>
      </c>
      <c r="O12" s="1458"/>
      <c r="P12" s="1457"/>
      <c r="R12" s="1464"/>
      <c r="S12" s="1496" t="s">
        <v>720</v>
      </c>
      <c r="T12" s="1491"/>
      <c r="U12" s="1491"/>
      <c r="V12" s="1491"/>
      <c r="W12" s="1491"/>
      <c r="X12" s="1491"/>
      <c r="Y12" s="1491"/>
      <c r="AA12" s="1492" t="s">
        <v>782</v>
      </c>
      <c r="AB12" s="1493"/>
      <c r="AC12" s="1493"/>
      <c r="AD12" s="1493"/>
      <c r="AE12" s="1493"/>
      <c r="AF12" s="1493"/>
      <c r="AG12" s="1493"/>
      <c r="AH12" s="1493"/>
    </row>
    <row r="13" spans="1:34" ht="18" customHeight="1">
      <c r="A13" s="1468"/>
      <c r="B13" s="1468"/>
      <c r="C13" s="1468"/>
      <c r="D13" s="1468"/>
      <c r="E13" s="1468"/>
      <c r="F13" s="1468"/>
      <c r="G13" s="1468"/>
      <c r="H13" s="1468"/>
      <c r="I13" s="1460"/>
      <c r="M13" s="1460"/>
      <c r="N13" s="1459" t="s">
        <v>730</v>
      </c>
      <c r="O13" s="1458"/>
      <c r="P13" s="1457"/>
      <c r="R13" s="1496" t="s">
        <v>761</v>
      </c>
      <c r="S13" s="1491"/>
      <c r="T13" s="1491"/>
      <c r="U13" s="1491"/>
      <c r="V13" s="1491"/>
      <c r="W13" s="1491"/>
      <c r="X13" s="1491"/>
      <c r="Y13" s="1491"/>
      <c r="AB13" s="1494" t="s">
        <v>783</v>
      </c>
      <c r="AC13" s="1495"/>
      <c r="AD13" s="1495"/>
      <c r="AE13" s="1495"/>
      <c r="AF13" s="1495"/>
      <c r="AG13" s="1495"/>
      <c r="AH13" s="1495"/>
    </row>
    <row r="14" spans="1:34" ht="18" customHeight="1">
      <c r="A14" s="1468"/>
      <c r="B14" s="1468"/>
      <c r="C14" s="1468"/>
      <c r="D14" s="1468"/>
      <c r="E14" s="1468"/>
      <c r="F14" s="1468"/>
      <c r="G14" s="1468"/>
      <c r="H14" s="1468"/>
      <c r="I14" s="1468"/>
      <c r="M14" s="1468"/>
      <c r="N14" s="1459" t="s">
        <v>731</v>
      </c>
      <c r="O14" s="1458"/>
      <c r="P14" s="1457"/>
      <c r="R14" s="1464"/>
      <c r="S14" s="1496" t="s">
        <v>762</v>
      </c>
      <c r="T14" s="1491"/>
      <c r="U14" s="1491"/>
      <c r="V14" s="1491"/>
      <c r="W14" s="1491"/>
      <c r="X14" s="1491"/>
      <c r="Y14" s="1491"/>
      <c r="AB14" s="1490" t="s">
        <v>784</v>
      </c>
      <c r="AC14" s="1491"/>
      <c r="AD14" s="1491"/>
      <c r="AE14" s="1491"/>
      <c r="AF14" s="1491"/>
      <c r="AG14" s="1491"/>
      <c r="AH14" s="1491"/>
    </row>
    <row r="15" spans="1:34" ht="18" customHeight="1">
      <c r="N15" s="1459" t="s">
        <v>732</v>
      </c>
      <c r="O15" s="1458"/>
      <c r="P15" s="1457"/>
      <c r="S15" s="1496" t="s">
        <v>763</v>
      </c>
      <c r="T15" s="1491"/>
      <c r="U15" s="1491"/>
      <c r="V15" s="1491"/>
      <c r="W15" s="1491"/>
      <c r="X15" s="1491"/>
      <c r="Y15" s="1491"/>
      <c r="AB15" s="1490" t="s">
        <v>785</v>
      </c>
      <c r="AC15" s="1491"/>
      <c r="AD15" s="1491"/>
      <c r="AE15" s="1491"/>
      <c r="AF15" s="1491"/>
      <c r="AG15" s="1491"/>
      <c r="AH15" s="1491"/>
    </row>
    <row r="16" spans="1:34" ht="18" customHeight="1">
      <c r="N16" s="1459" t="s">
        <v>733</v>
      </c>
      <c r="O16" s="1458"/>
      <c r="P16" s="1457"/>
      <c r="R16" s="1460"/>
      <c r="S16" s="1498" t="s">
        <v>720</v>
      </c>
      <c r="T16" s="1491"/>
      <c r="U16" s="1491"/>
      <c r="V16" s="1491"/>
      <c r="W16" s="1491"/>
      <c r="X16" s="1491"/>
      <c r="Y16" s="1491"/>
      <c r="AB16" s="1490" t="s">
        <v>786</v>
      </c>
      <c r="AC16" s="1491"/>
      <c r="AD16" s="1491"/>
      <c r="AE16" s="1491"/>
      <c r="AF16" s="1491"/>
      <c r="AG16" s="1491"/>
      <c r="AH16" s="1491"/>
    </row>
    <row r="17" spans="1:34" ht="18" customHeight="1">
      <c r="N17" s="1459" t="s">
        <v>734</v>
      </c>
      <c r="O17" s="1458"/>
      <c r="P17" s="1457"/>
      <c r="R17" s="1499" t="s">
        <v>764</v>
      </c>
      <c r="S17" s="1491"/>
      <c r="T17" s="1491"/>
      <c r="U17" s="1491"/>
      <c r="V17" s="1491"/>
      <c r="W17" s="1491"/>
      <c r="X17" s="1491"/>
      <c r="Y17" s="1491"/>
      <c r="AB17" s="1490" t="s">
        <v>787</v>
      </c>
      <c r="AC17" s="1491"/>
      <c r="AD17" s="1491"/>
      <c r="AE17" s="1491"/>
      <c r="AF17" s="1491"/>
      <c r="AG17" s="1491"/>
      <c r="AH17" s="1491"/>
    </row>
    <row r="18" spans="1:34" ht="18" customHeight="1">
      <c r="N18" s="1459" t="s">
        <v>735</v>
      </c>
      <c r="O18" s="1458"/>
      <c r="P18" s="1457"/>
      <c r="R18" s="1467"/>
      <c r="S18" s="1499" t="s">
        <v>765</v>
      </c>
      <c r="T18" s="1491"/>
      <c r="U18" s="1491"/>
      <c r="V18" s="1491"/>
      <c r="W18" s="1491"/>
      <c r="X18" s="1491"/>
      <c r="Y18" s="1491"/>
    </row>
    <row r="19" spans="1:34" ht="18" customHeight="1">
      <c r="I19" s="1460"/>
      <c r="M19" s="1460"/>
      <c r="N19" s="1459" t="s">
        <v>736</v>
      </c>
      <c r="O19" s="1458"/>
      <c r="P19" s="1457"/>
      <c r="R19" s="1466"/>
      <c r="S19" s="1500" t="s">
        <v>766</v>
      </c>
      <c r="T19" s="1491"/>
      <c r="U19" s="1491"/>
      <c r="V19" s="1491"/>
      <c r="W19" s="1491"/>
      <c r="X19" s="1491"/>
      <c r="Y19" s="1491"/>
    </row>
    <row r="20" spans="1:34" ht="18" customHeight="1">
      <c r="N20" s="1459" t="s">
        <v>737</v>
      </c>
      <c r="O20" s="1458"/>
      <c r="P20" s="1457"/>
      <c r="R20" s="1464"/>
      <c r="S20" s="1496" t="s">
        <v>767</v>
      </c>
      <c r="T20" s="1491"/>
      <c r="U20" s="1491"/>
      <c r="V20" s="1491"/>
      <c r="W20" s="1491"/>
      <c r="X20" s="1491"/>
      <c r="Y20" s="1491"/>
    </row>
    <row r="21" spans="1:34" ht="18" customHeight="1">
      <c r="A21" s="1465"/>
      <c r="B21" s="1464"/>
      <c r="C21" s="1464"/>
      <c r="N21" s="1459" t="s">
        <v>720</v>
      </c>
      <c r="O21" s="1458"/>
      <c r="P21" s="1457"/>
      <c r="R21" s="1463"/>
      <c r="S21" s="1501" t="s">
        <v>720</v>
      </c>
      <c r="T21" s="1491"/>
      <c r="U21" s="1491"/>
      <c r="V21" s="1491"/>
      <c r="W21" s="1491"/>
      <c r="X21" s="1491"/>
      <c r="Y21" s="1491"/>
    </row>
    <row r="22" spans="1:34" ht="18" customHeight="1" thickBot="1">
      <c r="A22" s="1465"/>
      <c r="B22" s="1464"/>
      <c r="C22" s="1464"/>
      <c r="N22" s="1459" t="s">
        <v>738</v>
      </c>
      <c r="O22" s="1458"/>
      <c r="P22" s="1457"/>
      <c r="R22" s="1502" t="s">
        <v>768</v>
      </c>
      <c r="S22" s="1493"/>
      <c r="T22" s="1493"/>
      <c r="U22" s="1493"/>
      <c r="V22" s="1493"/>
      <c r="W22" s="1493"/>
      <c r="X22" s="1493"/>
      <c r="Y22" s="1493"/>
    </row>
    <row r="23" spans="1:34" ht="18" customHeight="1">
      <c r="N23" s="1459" t="s">
        <v>739</v>
      </c>
      <c r="O23" s="1458"/>
      <c r="P23" s="1457"/>
      <c r="R23" s="1494" t="s">
        <v>769</v>
      </c>
      <c r="S23" s="1495"/>
      <c r="T23" s="1495"/>
      <c r="U23" s="1495"/>
      <c r="V23" s="1495"/>
      <c r="W23" s="1495"/>
      <c r="X23" s="1495"/>
      <c r="Y23" s="1495"/>
    </row>
    <row r="24" spans="1:34" ht="18" customHeight="1">
      <c r="N24" s="1459" t="s">
        <v>740</v>
      </c>
      <c r="O24" s="1458"/>
      <c r="P24" s="1457"/>
      <c r="S24" s="1490" t="s">
        <v>770</v>
      </c>
      <c r="T24" s="1491"/>
      <c r="U24" s="1491"/>
      <c r="V24" s="1491"/>
      <c r="W24" s="1491"/>
      <c r="X24" s="1491"/>
      <c r="Y24" s="1491"/>
    </row>
    <row r="25" spans="1:34" ht="18" customHeight="1">
      <c r="N25" s="1459" t="s">
        <v>741</v>
      </c>
      <c r="O25" s="1458"/>
      <c r="P25" s="1457"/>
      <c r="S25" s="1490" t="s">
        <v>771</v>
      </c>
      <c r="T25" s="1491"/>
      <c r="U25" s="1491"/>
      <c r="V25" s="1491"/>
      <c r="W25" s="1491"/>
      <c r="X25" s="1491"/>
      <c r="Y25" s="1491"/>
    </row>
    <row r="26" spans="1:34" ht="18" customHeight="1">
      <c r="N26" s="1459" t="s">
        <v>742</v>
      </c>
      <c r="O26" s="1458"/>
      <c r="P26" s="1457"/>
      <c r="S26" s="1490" t="s">
        <v>772</v>
      </c>
      <c r="T26" s="1491"/>
      <c r="U26" s="1491"/>
      <c r="V26" s="1491"/>
      <c r="W26" s="1491"/>
      <c r="X26" s="1491"/>
      <c r="Y26" s="1491"/>
    </row>
    <row r="27" spans="1:34" ht="18" customHeight="1">
      <c r="N27" s="1459" t="s">
        <v>743</v>
      </c>
      <c r="O27" s="1458"/>
      <c r="P27" s="1457"/>
      <c r="S27" s="1490" t="s">
        <v>720</v>
      </c>
      <c r="T27" s="1491"/>
      <c r="U27" s="1491"/>
      <c r="V27" s="1491"/>
      <c r="W27" s="1491"/>
      <c r="X27" s="1491"/>
      <c r="Y27" s="1491"/>
    </row>
    <row r="28" spans="1:34" ht="18" customHeight="1">
      <c r="A28" s="1460"/>
      <c r="B28" s="1460"/>
      <c r="C28" s="1460"/>
      <c r="D28" s="1460"/>
      <c r="N28" s="1459" t="s">
        <v>744</v>
      </c>
      <c r="O28" s="1458"/>
      <c r="P28" s="1457"/>
      <c r="R28" s="1490" t="s">
        <v>773</v>
      </c>
      <c r="S28" s="1491"/>
      <c r="T28" s="1491"/>
      <c r="U28" s="1491"/>
      <c r="V28" s="1491"/>
      <c r="W28" s="1491"/>
      <c r="X28" s="1491"/>
      <c r="Y28" s="1491"/>
    </row>
    <row r="29" spans="1:34" ht="18" customHeight="1" thickBot="1">
      <c r="A29" s="1462" t="s">
        <v>718</v>
      </c>
      <c r="B29" s="1462"/>
      <c r="C29" s="1462"/>
      <c r="D29" s="1462"/>
      <c r="E29" s="1462"/>
      <c r="F29" s="1462"/>
      <c r="G29" s="1462"/>
      <c r="H29" s="1462"/>
      <c r="I29" s="1462"/>
      <c r="J29" s="1462"/>
      <c r="K29" s="1462"/>
      <c r="L29" s="1462"/>
      <c r="M29" s="1460"/>
      <c r="N29" s="1459" t="s">
        <v>745</v>
      </c>
      <c r="O29" s="1458"/>
      <c r="P29" s="1457"/>
      <c r="S29" s="1490" t="s">
        <v>774</v>
      </c>
      <c r="T29" s="1491"/>
      <c r="U29" s="1491"/>
      <c r="V29" s="1491"/>
      <c r="W29" s="1491"/>
      <c r="X29" s="1491"/>
      <c r="Y29" s="1491"/>
    </row>
    <row r="30" spans="1:34" ht="18" customHeight="1">
      <c r="A30" s="1461" t="s">
        <v>749</v>
      </c>
      <c r="B30" s="1461"/>
      <c r="C30" s="1461"/>
      <c r="D30" s="1461"/>
      <c r="E30" s="1461"/>
      <c r="F30" s="1461"/>
      <c r="G30" s="1461"/>
      <c r="H30" s="1461"/>
      <c r="I30" s="1461"/>
      <c r="J30" s="1461"/>
      <c r="K30" s="1461"/>
      <c r="L30" s="1461"/>
      <c r="M30" s="1460"/>
      <c r="N30" s="1459" t="s">
        <v>731</v>
      </c>
      <c r="O30" s="1458"/>
      <c r="P30" s="1457"/>
      <c r="S30" s="1490" t="s">
        <v>775</v>
      </c>
      <c r="T30" s="1491"/>
      <c r="U30" s="1491"/>
      <c r="V30" s="1491"/>
      <c r="W30" s="1491"/>
      <c r="X30" s="1491"/>
      <c r="Y30" s="1491"/>
    </row>
    <row r="31" spans="1:34" ht="18" customHeight="1">
      <c r="A31" s="1456" t="s">
        <v>750</v>
      </c>
      <c r="B31" s="1456"/>
      <c r="C31" s="1456"/>
      <c r="D31" s="1456"/>
      <c r="E31" s="1456"/>
      <c r="F31" s="1456"/>
      <c r="G31" s="1456"/>
      <c r="H31" s="1456"/>
      <c r="I31" s="1456"/>
      <c r="J31" s="1456"/>
      <c r="K31" s="1456"/>
      <c r="L31" s="1456"/>
      <c r="N31" s="1459" t="s">
        <v>746</v>
      </c>
      <c r="O31" s="1458"/>
      <c r="P31" s="1457"/>
      <c r="S31" s="1490" t="s">
        <v>720</v>
      </c>
      <c r="T31" s="1491"/>
      <c r="U31" s="1491"/>
      <c r="V31" s="1491"/>
      <c r="W31" s="1491"/>
      <c r="X31" s="1491"/>
      <c r="Y31" s="1491"/>
    </row>
    <row r="32" spans="1:34" ht="18" customHeight="1">
      <c r="A32" s="1456" t="s">
        <v>751</v>
      </c>
      <c r="B32" s="1456"/>
      <c r="C32" s="1456"/>
      <c r="D32" s="1456"/>
      <c r="E32" s="1456"/>
      <c r="F32" s="1456"/>
      <c r="G32" s="1456"/>
      <c r="H32" s="1456"/>
      <c r="I32" s="1456"/>
      <c r="J32" s="1456"/>
      <c r="K32" s="1456"/>
      <c r="L32" s="1456"/>
      <c r="N32" s="1455" t="s">
        <v>747</v>
      </c>
      <c r="O32" s="1454"/>
      <c r="P32" s="1453"/>
    </row>
  </sheetData>
  <mergeCells count="79">
    <mergeCell ref="AB14:AH14"/>
    <mergeCell ref="AB15:AH15"/>
    <mergeCell ref="AB16:AH16"/>
    <mergeCell ref="AB17:AH17"/>
    <mergeCell ref="AB8:AH8"/>
    <mergeCell ref="AB9:AH9"/>
    <mergeCell ref="AB10:AH10"/>
    <mergeCell ref="AB11:AH11"/>
    <mergeCell ref="AA12:AH12"/>
    <mergeCell ref="AB13:AH13"/>
    <mergeCell ref="S27:Y27"/>
    <mergeCell ref="R28:Y28"/>
    <mergeCell ref="S29:Y29"/>
    <mergeCell ref="S30:Y30"/>
    <mergeCell ref="S31:Y31"/>
    <mergeCell ref="AA3:AH3"/>
    <mergeCell ref="AB4:AH4"/>
    <mergeCell ref="AB5:AH5"/>
    <mergeCell ref="AB6:AH6"/>
    <mergeCell ref="AA7:AH7"/>
    <mergeCell ref="S21:Y21"/>
    <mergeCell ref="R22:Y22"/>
    <mergeCell ref="R23:Y23"/>
    <mergeCell ref="S24:Y24"/>
    <mergeCell ref="S25:Y25"/>
    <mergeCell ref="S26:Y26"/>
    <mergeCell ref="S15:Y15"/>
    <mergeCell ref="S16:Y16"/>
    <mergeCell ref="R17:Y17"/>
    <mergeCell ref="S18:Y18"/>
    <mergeCell ref="S19:Y19"/>
    <mergeCell ref="S20:Y20"/>
    <mergeCell ref="R9:Y9"/>
    <mergeCell ref="S10:Y10"/>
    <mergeCell ref="S11:Y11"/>
    <mergeCell ref="S12:Y12"/>
    <mergeCell ref="R13:Y13"/>
    <mergeCell ref="S14:Y14"/>
    <mergeCell ref="R3:Y3"/>
    <mergeCell ref="S4:Y4"/>
    <mergeCell ref="S5:Y5"/>
    <mergeCell ref="S6:Y6"/>
    <mergeCell ref="S7:Y7"/>
    <mergeCell ref="R8:Y8"/>
    <mergeCell ref="B3:K3"/>
    <mergeCell ref="N3:P3"/>
    <mergeCell ref="N4:P4"/>
    <mergeCell ref="N5:P5"/>
    <mergeCell ref="N6:P6"/>
    <mergeCell ref="N7:P7"/>
    <mergeCell ref="C8:D9"/>
    <mergeCell ref="N8:P8"/>
    <mergeCell ref="N9:P9"/>
    <mergeCell ref="N10:P10"/>
    <mergeCell ref="N11:P11"/>
    <mergeCell ref="N12:P12"/>
    <mergeCell ref="N13:P13"/>
    <mergeCell ref="N14:P14"/>
    <mergeCell ref="N15:P15"/>
    <mergeCell ref="N16:P16"/>
    <mergeCell ref="N17:P17"/>
    <mergeCell ref="N18:P18"/>
    <mergeCell ref="N30:P30"/>
    <mergeCell ref="N19:P19"/>
    <mergeCell ref="N20:P20"/>
    <mergeCell ref="N21:P21"/>
    <mergeCell ref="N22:P22"/>
    <mergeCell ref="N23:P23"/>
    <mergeCell ref="N24:P24"/>
    <mergeCell ref="A31:L31"/>
    <mergeCell ref="N31:P31"/>
    <mergeCell ref="A32:L32"/>
    <mergeCell ref="N32:P32"/>
    <mergeCell ref="N25:P25"/>
    <mergeCell ref="N26:P26"/>
    <mergeCell ref="N27:P27"/>
    <mergeCell ref="N28:P28"/>
    <mergeCell ref="N29:P29"/>
    <mergeCell ref="A30:L30"/>
  </mergeCells>
  <phoneticPr fontId="3"/>
  <printOptions horizontalCentered="1" gridLinesSet="0"/>
  <pageMargins left="0.39370078740157483" right="0.31496062992125984" top="0.59055118110236227" bottom="0.31496062992125984" header="0.39370078740157483" footer="0.23622047244094491"/>
  <pageSetup paperSize="9" fitToWidth="0" orientation="landscape" horizontalDpi="4294967292" verticalDpi="4294967292" r:id="rId1"/>
  <headerFooter scaleWithDoc="0">
    <oddFooter>&amp;C&amp;"ＭＳ Ｐゴシック,標準"&amp;9( &amp;P / &amp;N )</oddFooter>
  </headerFooter>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Q51"/>
  <sheetViews>
    <sheetView showGridLines="0" zoomScale="80" zoomScaleNormal="80" workbookViewId="0">
      <pane xSplit="4" ySplit="7" topLeftCell="E8" activePane="bottomRight" state="frozenSplit"/>
      <selection pane="topRight" activeCell="Q1" sqref="Q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26.28515625" style="1276" customWidth="1"/>
    <col min="4" max="16" width="7.7109375" style="1276" customWidth="1"/>
    <col min="17" max="17" width="26.28515625" style="1276" customWidth="1"/>
    <col min="18" max="16384" width="9.140625" style="1272"/>
  </cols>
  <sheetData>
    <row r="1" spans="1:17" s="1545" customFormat="1" ht="18.95" customHeight="1">
      <c r="A1" s="1551" t="s">
        <v>802</v>
      </c>
      <c r="B1" s="1550"/>
      <c r="C1" s="1549"/>
      <c r="D1" s="1548"/>
      <c r="E1" s="1548"/>
      <c r="F1" s="1547"/>
      <c r="G1" s="1547"/>
      <c r="H1" s="1547"/>
      <c r="I1" s="1547"/>
      <c r="J1" s="1547"/>
      <c r="K1" s="1548"/>
      <c r="L1" s="1547"/>
      <c r="M1" s="1547"/>
      <c r="N1" s="1547"/>
      <c r="O1" s="1547"/>
      <c r="P1" s="1547"/>
      <c r="Q1" s="1546"/>
    </row>
    <row r="4" spans="1:17" ht="13.5" customHeight="1">
      <c r="A4" s="1380" t="s">
        <v>372</v>
      </c>
      <c r="B4" s="1379" t="s">
        <v>358</v>
      </c>
      <c r="C4" s="1544" t="s">
        <v>801</v>
      </c>
      <c r="D4" s="1375" t="s">
        <v>800</v>
      </c>
      <c r="E4" s="1543" t="s">
        <v>799</v>
      </c>
      <c r="F4" s="1542"/>
      <c r="G4" s="1542"/>
      <c r="H4" s="1542"/>
      <c r="I4" s="1542"/>
      <c r="J4" s="1541"/>
      <c r="K4" s="1543" t="s">
        <v>798</v>
      </c>
      <c r="L4" s="1542"/>
      <c r="M4" s="1542"/>
      <c r="N4" s="1542"/>
      <c r="O4" s="1542"/>
      <c r="P4" s="1541"/>
      <c r="Q4" s="1540" t="s">
        <v>797</v>
      </c>
    </row>
    <row r="5" spans="1:17" ht="13.5" customHeight="1">
      <c r="A5" s="1348"/>
      <c r="B5" s="1347"/>
      <c r="C5" s="1537"/>
      <c r="D5" s="1361"/>
      <c r="E5" s="1536" t="s">
        <v>796</v>
      </c>
      <c r="F5" s="1539"/>
      <c r="G5" s="1535"/>
      <c r="H5" s="1356" t="s">
        <v>795</v>
      </c>
      <c r="I5" s="1538" t="s">
        <v>794</v>
      </c>
      <c r="J5" s="1359"/>
      <c r="K5" s="1536" t="s">
        <v>796</v>
      </c>
      <c r="L5" s="1539"/>
      <c r="M5" s="1535"/>
      <c r="N5" s="1356" t="s">
        <v>795</v>
      </c>
      <c r="O5" s="1538" t="s">
        <v>794</v>
      </c>
      <c r="P5" s="1359"/>
      <c r="Q5" s="1532"/>
    </row>
    <row r="6" spans="1:17" ht="13.5" customHeight="1">
      <c r="A6" s="1348"/>
      <c r="B6" s="1347"/>
      <c r="C6" s="1537"/>
      <c r="D6" s="1361"/>
      <c r="E6" s="1536" t="s">
        <v>793</v>
      </c>
      <c r="F6" s="1535"/>
      <c r="G6" s="1356" t="s">
        <v>792</v>
      </c>
      <c r="H6" s="1334"/>
      <c r="I6" s="1534"/>
      <c r="J6" s="1533"/>
      <c r="K6" s="1536" t="s">
        <v>793</v>
      </c>
      <c r="L6" s="1535"/>
      <c r="M6" s="1356" t="s">
        <v>792</v>
      </c>
      <c r="N6" s="1334"/>
      <c r="O6" s="1534"/>
      <c r="P6" s="1533"/>
      <c r="Q6" s="1532"/>
    </row>
    <row r="7" spans="1:17" ht="13.5" customHeight="1">
      <c r="A7" s="1531"/>
      <c r="B7" s="1530"/>
      <c r="C7" s="1529"/>
      <c r="D7" s="1342"/>
      <c r="E7" s="1528" t="s">
        <v>616</v>
      </c>
      <c r="F7" s="1341" t="s">
        <v>791</v>
      </c>
      <c r="G7" s="1527"/>
      <c r="H7" s="1527"/>
      <c r="I7" s="1526" t="s">
        <v>790</v>
      </c>
      <c r="J7" s="1525" t="s">
        <v>789</v>
      </c>
      <c r="K7" s="1528" t="s">
        <v>616</v>
      </c>
      <c r="L7" s="1341" t="s">
        <v>791</v>
      </c>
      <c r="M7" s="1527"/>
      <c r="N7" s="1527"/>
      <c r="O7" s="1526" t="s">
        <v>790</v>
      </c>
      <c r="P7" s="1525" t="s">
        <v>789</v>
      </c>
      <c r="Q7" s="1524"/>
    </row>
    <row r="8" spans="1:17" ht="13.5" customHeight="1">
      <c r="A8" s="1324"/>
      <c r="B8" s="1323"/>
      <c r="C8" s="1322" t="s">
        <v>803</v>
      </c>
      <c r="D8" s="1311"/>
      <c r="E8" s="1523"/>
      <c r="F8" s="1522"/>
      <c r="G8" s="1521"/>
      <c r="H8" s="1520"/>
      <c r="I8" s="1519"/>
      <c r="J8" s="1518"/>
      <c r="K8" s="1523"/>
      <c r="L8" s="1522"/>
      <c r="M8" s="1521"/>
      <c r="N8" s="1520"/>
      <c r="O8" s="1519"/>
      <c r="P8" s="1518"/>
      <c r="Q8" s="1517"/>
    </row>
    <row r="9" spans="1:17" ht="13.5" customHeight="1" thickBot="1">
      <c r="A9" s="1409">
        <v>2</v>
      </c>
      <c r="B9" s="1410">
        <v>201</v>
      </c>
      <c r="C9" s="1411" t="s">
        <v>347</v>
      </c>
      <c r="D9" s="1416">
        <v>2310</v>
      </c>
      <c r="E9" s="1552"/>
      <c r="F9" s="1553"/>
      <c r="G9" s="1554"/>
      <c r="H9" s="1555"/>
      <c r="I9" s="1556"/>
      <c r="J9" s="1557"/>
      <c r="K9" s="1552"/>
      <c r="L9" s="1553"/>
      <c r="M9" s="1554"/>
      <c r="N9" s="1555"/>
      <c r="O9" s="1556"/>
      <c r="P9" s="1557"/>
      <c r="Q9" s="1558"/>
    </row>
    <row r="10" spans="1:17" ht="18.95" customHeight="1" thickTop="1">
      <c r="A10" s="1567" t="s">
        <v>804</v>
      </c>
      <c r="B10" s="1568"/>
      <c r="C10" s="1569"/>
      <c r="D10" s="1560">
        <v>2310</v>
      </c>
      <c r="E10" s="1561">
        <v>26.35</v>
      </c>
      <c r="F10" s="1562">
        <v>18.7</v>
      </c>
      <c r="G10" s="1563">
        <v>17.489999999999998</v>
      </c>
      <c r="H10" s="1563">
        <v>8.43</v>
      </c>
      <c r="I10" s="1564">
        <v>6864</v>
      </c>
      <c r="J10" s="1565">
        <v>6.9</v>
      </c>
      <c r="K10" s="1561">
        <v>22</v>
      </c>
      <c r="L10" s="1562">
        <v>13.9</v>
      </c>
      <c r="M10" s="1563">
        <v>30.12</v>
      </c>
      <c r="N10" s="1563">
        <v>8.120000000000001</v>
      </c>
      <c r="O10" s="1564">
        <v>6290</v>
      </c>
      <c r="P10" s="1565">
        <v>6.3</v>
      </c>
      <c r="Q10" s="1566"/>
    </row>
    <row r="11" spans="1:17" ht="13.5" customHeight="1">
      <c r="A11" s="1306"/>
      <c r="B11" s="1305"/>
      <c r="C11" s="1559"/>
      <c r="D11" s="1293"/>
      <c r="E11" s="1516"/>
      <c r="F11" s="1515"/>
      <c r="G11" s="1514"/>
      <c r="H11" s="1513"/>
      <c r="I11" s="1512"/>
      <c r="J11" s="1511"/>
      <c r="K11" s="1516"/>
      <c r="L11" s="1515"/>
      <c r="M11" s="1514"/>
      <c r="N11" s="1513"/>
      <c r="O11" s="1512"/>
      <c r="P11" s="1511"/>
      <c r="Q11" s="1510"/>
    </row>
    <row r="12" spans="1:17" ht="13.5" customHeight="1">
      <c r="A12" s="1306"/>
      <c r="B12" s="1305"/>
      <c r="C12" s="1304" t="s">
        <v>805</v>
      </c>
      <c r="D12" s="1293"/>
      <c r="E12" s="1516"/>
      <c r="F12" s="1515"/>
      <c r="G12" s="1514"/>
      <c r="H12" s="1513"/>
      <c r="I12" s="1512"/>
      <c r="J12" s="1511"/>
      <c r="K12" s="1516"/>
      <c r="L12" s="1515"/>
      <c r="M12" s="1514"/>
      <c r="N12" s="1513"/>
      <c r="O12" s="1512"/>
      <c r="P12" s="1511"/>
      <c r="Q12" s="1510"/>
    </row>
    <row r="13" spans="1:17" ht="13.5" customHeight="1">
      <c r="A13" s="1306">
        <v>2</v>
      </c>
      <c r="B13" s="1305">
        <v>204</v>
      </c>
      <c r="C13" s="1304" t="s">
        <v>531</v>
      </c>
      <c r="D13" s="1293">
        <v>270</v>
      </c>
      <c r="E13" s="1516"/>
      <c r="F13" s="1515"/>
      <c r="G13" s="1514"/>
      <c r="H13" s="1513"/>
      <c r="I13" s="1512"/>
      <c r="J13" s="1511"/>
      <c r="K13" s="1516"/>
      <c r="L13" s="1515"/>
      <c r="M13" s="1514"/>
      <c r="N13" s="1513"/>
      <c r="O13" s="1512"/>
      <c r="P13" s="1511"/>
      <c r="Q13" s="1510"/>
    </row>
    <row r="14" spans="1:17" ht="13.5" customHeight="1">
      <c r="A14" s="1306">
        <v>2</v>
      </c>
      <c r="B14" s="1305">
        <v>205</v>
      </c>
      <c r="C14" s="1304" t="s">
        <v>557</v>
      </c>
      <c r="D14" s="1293">
        <v>320</v>
      </c>
      <c r="E14" s="1516"/>
      <c r="F14" s="1515"/>
      <c r="G14" s="1514"/>
      <c r="H14" s="1513"/>
      <c r="I14" s="1512"/>
      <c r="J14" s="1511"/>
      <c r="K14" s="1516"/>
      <c r="L14" s="1515"/>
      <c r="M14" s="1514"/>
      <c r="N14" s="1513"/>
      <c r="O14" s="1512"/>
      <c r="P14" s="1511"/>
      <c r="Q14" s="1510"/>
    </row>
    <row r="15" spans="1:17" ht="13.5" customHeight="1" thickBot="1">
      <c r="A15" s="1409">
        <v>2</v>
      </c>
      <c r="B15" s="1410">
        <v>208</v>
      </c>
      <c r="C15" s="1411" t="s">
        <v>588</v>
      </c>
      <c r="D15" s="1416">
        <v>1000</v>
      </c>
      <c r="E15" s="1552"/>
      <c r="F15" s="1553"/>
      <c r="G15" s="1554"/>
      <c r="H15" s="1555"/>
      <c r="I15" s="1556"/>
      <c r="J15" s="1557"/>
      <c r="K15" s="1552"/>
      <c r="L15" s="1553"/>
      <c r="M15" s="1554"/>
      <c r="N15" s="1555"/>
      <c r="O15" s="1556"/>
      <c r="P15" s="1557"/>
      <c r="Q15" s="1558"/>
    </row>
    <row r="16" spans="1:17" ht="18.95" customHeight="1" thickTop="1">
      <c r="A16" s="1567" t="s">
        <v>806</v>
      </c>
      <c r="B16" s="1568"/>
      <c r="C16" s="1569"/>
      <c r="D16" s="1560">
        <v>1590</v>
      </c>
      <c r="E16" s="1561">
        <v>26.97</v>
      </c>
      <c r="F16" s="1562">
        <v>18.600000000000001</v>
      </c>
      <c r="G16" s="1563">
        <v>14.78</v>
      </c>
      <c r="H16" s="1563">
        <v>11.77</v>
      </c>
      <c r="I16" s="1564">
        <v>6500</v>
      </c>
      <c r="J16" s="1565">
        <v>6.5</v>
      </c>
      <c r="K16" s="1561">
        <v>22</v>
      </c>
      <c r="L16" s="1562">
        <v>13.9</v>
      </c>
      <c r="M16" s="1563">
        <v>40.049999999999997</v>
      </c>
      <c r="N16" s="1563">
        <v>18.049999999999997</v>
      </c>
      <c r="O16" s="1564">
        <v>9624</v>
      </c>
      <c r="P16" s="1565">
        <v>9.6999999999999993</v>
      </c>
      <c r="Q16" s="1566"/>
    </row>
    <row r="17" spans="1:17" ht="13.5" customHeight="1">
      <c r="A17" s="1306"/>
      <c r="B17" s="1305"/>
      <c r="C17" s="1559"/>
      <c r="D17" s="1293"/>
      <c r="E17" s="1516"/>
      <c r="F17" s="1515"/>
      <c r="G17" s="1514"/>
      <c r="H17" s="1513"/>
      <c r="I17" s="1512"/>
      <c r="J17" s="1511"/>
      <c r="K17" s="1516"/>
      <c r="L17" s="1515"/>
      <c r="M17" s="1514"/>
      <c r="N17" s="1513"/>
      <c r="O17" s="1512"/>
      <c r="P17" s="1511"/>
      <c r="Q17" s="1510"/>
    </row>
    <row r="18" spans="1:17" ht="13.5" customHeight="1">
      <c r="A18" s="1306"/>
      <c r="B18" s="1305"/>
      <c r="C18" s="1304"/>
      <c r="D18" s="1293"/>
      <c r="E18" s="1516"/>
      <c r="F18" s="1515"/>
      <c r="G18" s="1514"/>
      <c r="H18" s="1513"/>
      <c r="I18" s="1512"/>
      <c r="J18" s="1511"/>
      <c r="K18" s="1516"/>
      <c r="L18" s="1515"/>
      <c r="M18" s="1514"/>
      <c r="N18" s="1513"/>
      <c r="O18" s="1512"/>
      <c r="P18" s="1511"/>
      <c r="Q18" s="1510"/>
    </row>
    <row r="19" spans="1:17" ht="13.5" customHeight="1">
      <c r="A19" s="1306"/>
      <c r="B19" s="1305"/>
      <c r="C19" s="1304"/>
      <c r="D19" s="1293"/>
      <c r="E19" s="1516"/>
      <c r="F19" s="1515"/>
      <c r="G19" s="1514"/>
      <c r="H19" s="1513"/>
      <c r="I19" s="1512"/>
      <c r="J19" s="1511"/>
      <c r="K19" s="1516"/>
      <c r="L19" s="1515"/>
      <c r="M19" s="1514"/>
      <c r="N19" s="1513"/>
      <c r="O19" s="1512"/>
      <c r="P19" s="1511"/>
      <c r="Q19" s="1510"/>
    </row>
    <row r="20" spans="1:17" ht="13.5" customHeight="1">
      <c r="A20" s="1306"/>
      <c r="B20" s="1305"/>
      <c r="C20" s="1304"/>
      <c r="D20" s="1293"/>
      <c r="E20" s="1516"/>
      <c r="F20" s="1515"/>
      <c r="G20" s="1514"/>
      <c r="H20" s="1513"/>
      <c r="I20" s="1512"/>
      <c r="J20" s="1511"/>
      <c r="K20" s="1516"/>
      <c r="L20" s="1515"/>
      <c r="M20" s="1514"/>
      <c r="N20" s="1513"/>
      <c r="O20" s="1512"/>
      <c r="P20" s="1511"/>
      <c r="Q20" s="1510"/>
    </row>
    <row r="21" spans="1:17" ht="13.5" customHeight="1">
      <c r="A21" s="1306"/>
      <c r="B21" s="1305"/>
      <c r="C21" s="1304"/>
      <c r="D21" s="1293"/>
      <c r="E21" s="1516"/>
      <c r="F21" s="1515"/>
      <c r="G21" s="1514"/>
      <c r="H21" s="1513"/>
      <c r="I21" s="1512"/>
      <c r="J21" s="1511"/>
      <c r="K21" s="1516"/>
      <c r="L21" s="1515"/>
      <c r="M21" s="1514"/>
      <c r="N21" s="1513"/>
      <c r="O21" s="1512"/>
      <c r="P21" s="1511"/>
      <c r="Q21" s="1510"/>
    </row>
    <row r="22" spans="1:17" ht="13.5" customHeight="1">
      <c r="A22" s="1306"/>
      <c r="B22" s="1305"/>
      <c r="C22" s="1304"/>
      <c r="D22" s="1293"/>
      <c r="E22" s="1516"/>
      <c r="F22" s="1515"/>
      <c r="G22" s="1514"/>
      <c r="H22" s="1513"/>
      <c r="I22" s="1512"/>
      <c r="J22" s="1511"/>
      <c r="K22" s="1516"/>
      <c r="L22" s="1515"/>
      <c r="M22" s="1514"/>
      <c r="N22" s="1513"/>
      <c r="O22" s="1512"/>
      <c r="P22" s="1511"/>
      <c r="Q22" s="1510"/>
    </row>
    <row r="23" spans="1:17" ht="13.5" customHeight="1">
      <c r="A23" s="1306"/>
      <c r="B23" s="1305"/>
      <c r="C23" s="1304"/>
      <c r="D23" s="1293"/>
      <c r="E23" s="1516"/>
      <c r="F23" s="1515"/>
      <c r="G23" s="1514"/>
      <c r="H23" s="1513"/>
      <c r="I23" s="1512"/>
      <c r="J23" s="1511"/>
      <c r="K23" s="1516"/>
      <c r="L23" s="1515"/>
      <c r="M23" s="1514"/>
      <c r="N23" s="1513"/>
      <c r="O23" s="1512"/>
      <c r="P23" s="1511"/>
      <c r="Q23" s="1510"/>
    </row>
    <row r="24" spans="1:17" ht="13.5" customHeight="1">
      <c r="A24" s="1306"/>
      <c r="B24" s="1305"/>
      <c r="C24" s="1304"/>
      <c r="D24" s="1293"/>
      <c r="E24" s="1516"/>
      <c r="F24" s="1515"/>
      <c r="G24" s="1514"/>
      <c r="H24" s="1513"/>
      <c r="I24" s="1512"/>
      <c r="J24" s="1511"/>
      <c r="K24" s="1516"/>
      <c r="L24" s="1515"/>
      <c r="M24" s="1514"/>
      <c r="N24" s="1513"/>
      <c r="O24" s="1512"/>
      <c r="P24" s="1511"/>
      <c r="Q24" s="1510"/>
    </row>
    <row r="25" spans="1:17" ht="13.5" customHeight="1">
      <c r="A25" s="1306"/>
      <c r="B25" s="1305"/>
      <c r="C25" s="1304"/>
      <c r="D25" s="1293"/>
      <c r="E25" s="1516"/>
      <c r="F25" s="1515"/>
      <c r="G25" s="1514"/>
      <c r="H25" s="1513"/>
      <c r="I25" s="1512"/>
      <c r="J25" s="1511"/>
      <c r="K25" s="1516"/>
      <c r="L25" s="1515"/>
      <c r="M25" s="1514"/>
      <c r="N25" s="1513"/>
      <c r="O25" s="1512"/>
      <c r="P25" s="1511"/>
      <c r="Q25" s="1510"/>
    </row>
    <row r="26" spans="1:17" ht="13.5" customHeight="1">
      <c r="A26" s="1306"/>
      <c r="B26" s="1305"/>
      <c r="C26" s="1304"/>
      <c r="D26" s="1293"/>
      <c r="E26" s="1516"/>
      <c r="F26" s="1515"/>
      <c r="G26" s="1514"/>
      <c r="H26" s="1513"/>
      <c r="I26" s="1512"/>
      <c r="J26" s="1511"/>
      <c r="K26" s="1516"/>
      <c r="L26" s="1515"/>
      <c r="M26" s="1514"/>
      <c r="N26" s="1513"/>
      <c r="O26" s="1512"/>
      <c r="P26" s="1511"/>
      <c r="Q26" s="1510"/>
    </row>
    <row r="27" spans="1:17" ht="13.5" customHeight="1">
      <c r="A27" s="1306"/>
      <c r="B27" s="1305"/>
      <c r="C27" s="1304"/>
      <c r="D27" s="1293"/>
      <c r="E27" s="1516"/>
      <c r="F27" s="1515"/>
      <c r="G27" s="1514"/>
      <c r="H27" s="1513"/>
      <c r="I27" s="1512"/>
      <c r="J27" s="1511"/>
      <c r="K27" s="1516"/>
      <c r="L27" s="1515"/>
      <c r="M27" s="1514"/>
      <c r="N27" s="1513"/>
      <c r="O27" s="1512"/>
      <c r="P27" s="1511"/>
      <c r="Q27" s="1510"/>
    </row>
    <row r="28" spans="1:17" ht="13.5" customHeight="1">
      <c r="A28" s="1306"/>
      <c r="B28" s="1305"/>
      <c r="C28" s="1304"/>
      <c r="D28" s="1293"/>
      <c r="E28" s="1516"/>
      <c r="F28" s="1515"/>
      <c r="G28" s="1514"/>
      <c r="H28" s="1513"/>
      <c r="I28" s="1512"/>
      <c r="J28" s="1511"/>
      <c r="K28" s="1516"/>
      <c r="L28" s="1515"/>
      <c r="M28" s="1514"/>
      <c r="N28" s="1513"/>
      <c r="O28" s="1512"/>
      <c r="P28" s="1511"/>
      <c r="Q28" s="1510"/>
    </row>
    <row r="29" spans="1:17" ht="13.5" customHeight="1">
      <c r="A29" s="1306"/>
      <c r="B29" s="1305"/>
      <c r="C29" s="1304"/>
      <c r="D29" s="1293"/>
      <c r="E29" s="1516"/>
      <c r="F29" s="1515"/>
      <c r="G29" s="1514"/>
      <c r="H29" s="1513"/>
      <c r="I29" s="1512"/>
      <c r="J29" s="1511"/>
      <c r="K29" s="1516"/>
      <c r="L29" s="1515"/>
      <c r="M29" s="1514"/>
      <c r="N29" s="1513"/>
      <c r="O29" s="1512"/>
      <c r="P29" s="1511"/>
      <c r="Q29" s="1510"/>
    </row>
    <row r="30" spans="1:17" ht="13.5" customHeight="1">
      <c r="A30" s="1306"/>
      <c r="B30" s="1305"/>
      <c r="C30" s="1304"/>
      <c r="D30" s="1293"/>
      <c r="E30" s="1516"/>
      <c r="F30" s="1515"/>
      <c r="G30" s="1514"/>
      <c r="H30" s="1513"/>
      <c r="I30" s="1512"/>
      <c r="J30" s="1511"/>
      <c r="K30" s="1516"/>
      <c r="L30" s="1515"/>
      <c r="M30" s="1514"/>
      <c r="N30" s="1513"/>
      <c r="O30" s="1512"/>
      <c r="P30" s="1511"/>
      <c r="Q30" s="1510"/>
    </row>
    <row r="31" spans="1:17" ht="13.5" customHeight="1">
      <c r="A31" s="1306"/>
      <c r="B31" s="1305"/>
      <c r="C31" s="1304"/>
      <c r="D31" s="1293"/>
      <c r="E31" s="1516"/>
      <c r="F31" s="1515"/>
      <c r="G31" s="1514"/>
      <c r="H31" s="1513"/>
      <c r="I31" s="1512"/>
      <c r="J31" s="1511"/>
      <c r="K31" s="1516"/>
      <c r="L31" s="1515"/>
      <c r="M31" s="1514"/>
      <c r="N31" s="1513"/>
      <c r="O31" s="1512"/>
      <c r="P31" s="1511"/>
      <c r="Q31" s="1510"/>
    </row>
    <row r="32" spans="1:17" ht="13.5" customHeight="1">
      <c r="A32" s="1306"/>
      <c r="B32" s="1305"/>
      <c r="C32" s="1304"/>
      <c r="D32" s="1293"/>
      <c r="E32" s="1516"/>
      <c r="F32" s="1515"/>
      <c r="G32" s="1514"/>
      <c r="H32" s="1513"/>
      <c r="I32" s="1512"/>
      <c r="J32" s="1511"/>
      <c r="K32" s="1516"/>
      <c r="L32" s="1515"/>
      <c r="M32" s="1514"/>
      <c r="N32" s="1513"/>
      <c r="O32" s="1512"/>
      <c r="P32" s="1511"/>
      <c r="Q32" s="1510"/>
    </row>
    <row r="33" spans="1:17" ht="13.5" customHeight="1">
      <c r="A33" s="1306"/>
      <c r="B33" s="1305"/>
      <c r="C33" s="1304"/>
      <c r="D33" s="1293"/>
      <c r="E33" s="1516"/>
      <c r="F33" s="1515"/>
      <c r="G33" s="1514"/>
      <c r="H33" s="1513"/>
      <c r="I33" s="1512"/>
      <c r="J33" s="1511"/>
      <c r="K33" s="1516"/>
      <c r="L33" s="1515"/>
      <c r="M33" s="1514"/>
      <c r="N33" s="1513"/>
      <c r="O33" s="1512"/>
      <c r="P33" s="1511"/>
      <c r="Q33" s="1510"/>
    </row>
    <row r="34" spans="1:17" ht="13.5" customHeight="1">
      <c r="A34" s="1306"/>
      <c r="B34" s="1305"/>
      <c r="C34" s="1304"/>
      <c r="D34" s="1293"/>
      <c r="E34" s="1516"/>
      <c r="F34" s="1515"/>
      <c r="G34" s="1514"/>
      <c r="H34" s="1513"/>
      <c r="I34" s="1512"/>
      <c r="J34" s="1511"/>
      <c r="K34" s="1516"/>
      <c r="L34" s="1515"/>
      <c r="M34" s="1514"/>
      <c r="N34" s="1513"/>
      <c r="O34" s="1512"/>
      <c r="P34" s="1511"/>
      <c r="Q34" s="1510"/>
    </row>
    <row r="35" spans="1:17" ht="13.5" customHeight="1">
      <c r="A35" s="1306"/>
      <c r="B35" s="1305"/>
      <c r="C35" s="1304"/>
      <c r="D35" s="1293"/>
      <c r="E35" s="1516"/>
      <c r="F35" s="1515"/>
      <c r="G35" s="1514"/>
      <c r="H35" s="1513"/>
      <c r="I35" s="1512"/>
      <c r="J35" s="1511"/>
      <c r="K35" s="1516"/>
      <c r="L35" s="1515"/>
      <c r="M35" s="1514"/>
      <c r="N35" s="1513"/>
      <c r="O35" s="1512"/>
      <c r="P35" s="1511"/>
      <c r="Q35" s="1510"/>
    </row>
    <row r="36" spans="1:17" ht="13.5" customHeight="1">
      <c r="A36" s="1306"/>
      <c r="B36" s="1305"/>
      <c r="C36" s="1304"/>
      <c r="D36" s="1293"/>
      <c r="E36" s="1516"/>
      <c r="F36" s="1515"/>
      <c r="G36" s="1514"/>
      <c r="H36" s="1513"/>
      <c r="I36" s="1512"/>
      <c r="J36" s="1511"/>
      <c r="K36" s="1516"/>
      <c r="L36" s="1515"/>
      <c r="M36" s="1514"/>
      <c r="N36" s="1513"/>
      <c r="O36" s="1512"/>
      <c r="P36" s="1511"/>
      <c r="Q36" s="1510"/>
    </row>
    <row r="37" spans="1:17" ht="13.5" customHeight="1">
      <c r="A37" s="1288"/>
      <c r="B37" s="1287"/>
      <c r="C37" s="1286"/>
      <c r="D37" s="1285"/>
      <c r="E37" s="1509"/>
      <c r="F37" s="1508"/>
      <c r="G37" s="1507"/>
      <c r="H37" s="1506"/>
      <c r="I37" s="1505"/>
      <c r="J37" s="1504"/>
      <c r="K37" s="1509"/>
      <c r="L37" s="1508"/>
      <c r="M37" s="1507"/>
      <c r="N37" s="1506"/>
      <c r="O37" s="1505"/>
      <c r="P37" s="1504"/>
      <c r="Q37" s="1503"/>
    </row>
    <row r="48" spans="1:17" s="1276" customFormat="1" ht="13.5" customHeight="1">
      <c r="C48" s="1283"/>
    </row>
    <row r="49" spans="3:3" s="1276" customFormat="1" ht="13.5" customHeight="1">
      <c r="C49" s="1283"/>
    </row>
    <row r="50" spans="3:3" s="1276" customFormat="1" ht="13.5" customHeight="1">
      <c r="C50" s="1283"/>
    </row>
    <row r="51" spans="3:3" s="1276" customFormat="1" ht="13.5" customHeight="1">
      <c r="C51" s="1281"/>
    </row>
  </sheetData>
  <mergeCells count="19">
    <mergeCell ref="A10:C10"/>
    <mergeCell ref="A16:C16"/>
    <mergeCell ref="A4:A7"/>
    <mergeCell ref="B4:B7"/>
    <mergeCell ref="C4:C7"/>
    <mergeCell ref="D4:D7"/>
    <mergeCell ref="E4:J4"/>
    <mergeCell ref="K4:P4"/>
    <mergeCell ref="M6:M7"/>
    <mergeCell ref="Q4:Q7"/>
    <mergeCell ref="E5:G5"/>
    <mergeCell ref="H5:H7"/>
    <mergeCell ref="I5:J6"/>
    <mergeCell ref="K5:M5"/>
    <mergeCell ref="N5:N7"/>
    <mergeCell ref="O5:P6"/>
    <mergeCell ref="E6:F6"/>
    <mergeCell ref="G6:G7"/>
    <mergeCell ref="K6:L6"/>
  </mergeCells>
  <phoneticPr fontId="3"/>
  <printOptions horizontalCentered="1"/>
  <pageMargins left="0.39370078740157483" right="0.39370078740157483" top="0.70866141732283472" bottom="0.35433070866141736" header="0.31496062992125984" footer="0.23622047244094491"/>
  <pageSetup paperSize="9" scale="93" fitToHeight="0" orientation="landscape" horizontalDpi="1200" verticalDpi="1200" r:id="rId1"/>
  <headerFooter scaleWithDoc="0">
    <oddFooter>&amp;C&amp;"ＭＳ Ｐゴシック,標準"&amp;9( &amp;P / &amp;N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807</v>
      </c>
    </row>
    <row r="6" spans="1:5" ht="30" customHeight="1">
      <c r="A6" s="6"/>
    </row>
    <row r="7" spans="1:5" ht="30" customHeight="1">
      <c r="A7" s="6" t="s">
        <v>808</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C11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28" width="7.7109375" style="1276" customWidth="1"/>
    <col min="29" max="29" width="14.7109375" style="1276" customWidth="1"/>
    <col min="30" max="16384" width="9.140625" style="1272"/>
  </cols>
  <sheetData>
    <row r="1" spans="1:29" s="1581" customFormat="1" ht="30" customHeight="1">
      <c r="A1" s="1589" t="s">
        <v>811</v>
      </c>
      <c r="B1" s="1588"/>
      <c r="C1" s="1587"/>
      <c r="D1" s="1586"/>
      <c r="E1" s="1585"/>
      <c r="F1" s="1585"/>
      <c r="G1" s="1585"/>
      <c r="H1" s="1584"/>
      <c r="I1" s="1584"/>
      <c r="J1" s="1585"/>
      <c r="K1" s="1585"/>
      <c r="L1" s="1584"/>
      <c r="M1" s="1584"/>
      <c r="N1" s="1585"/>
      <c r="O1" s="1584"/>
      <c r="P1" s="1585"/>
      <c r="Q1" s="1585"/>
      <c r="R1" s="1584"/>
      <c r="S1" s="1585"/>
      <c r="T1" s="1585"/>
      <c r="U1" s="1584"/>
      <c r="V1" s="1585"/>
      <c r="W1" s="1585"/>
      <c r="X1" s="1584"/>
      <c r="Y1" s="1584"/>
      <c r="Z1" s="1585"/>
      <c r="AA1" s="1584"/>
      <c r="AB1" s="1583"/>
      <c r="AC1" s="1582"/>
    </row>
    <row r="4" spans="1:29" ht="13.5" customHeight="1">
      <c r="A4" s="1380" t="s">
        <v>372</v>
      </c>
      <c r="B4" s="1379" t="s">
        <v>358</v>
      </c>
      <c r="C4" s="1544" t="s">
        <v>801</v>
      </c>
      <c r="D4" s="1580" t="s">
        <v>810</v>
      </c>
      <c r="E4" s="1579" t="s">
        <v>809</v>
      </c>
      <c r="F4" s="1578"/>
      <c r="G4" s="1578"/>
      <c r="H4" s="1578"/>
      <c r="I4" s="1578"/>
      <c r="J4" s="1578"/>
      <c r="K4" s="1578"/>
      <c r="L4" s="1578"/>
      <c r="M4" s="1578"/>
      <c r="N4" s="1578"/>
      <c r="O4" s="1578"/>
      <c r="P4" s="1578"/>
      <c r="Q4" s="1578"/>
      <c r="R4" s="1578"/>
      <c r="S4" s="1578"/>
      <c r="T4" s="1578"/>
      <c r="U4" s="1578"/>
      <c r="V4" s="1578"/>
      <c r="W4" s="1578"/>
      <c r="X4" s="1578"/>
      <c r="Y4" s="1578"/>
      <c r="Z4" s="1578"/>
      <c r="AA4" s="1578"/>
      <c r="AB4" s="1577"/>
      <c r="AC4" s="1576" t="s">
        <v>797</v>
      </c>
    </row>
    <row r="5" spans="1:29" ht="13.5" customHeight="1">
      <c r="A5" s="1348"/>
      <c r="B5" s="1347"/>
      <c r="C5" s="1537"/>
      <c r="D5" s="1590"/>
      <c r="E5" s="1575">
        <v>1</v>
      </c>
      <c r="F5" s="1574">
        <v>2</v>
      </c>
      <c r="G5" s="1574">
        <v>3</v>
      </c>
      <c r="H5" s="1574">
        <v>4</v>
      </c>
      <c r="I5" s="1574">
        <v>5</v>
      </c>
      <c r="J5" s="1574">
        <v>6</v>
      </c>
      <c r="K5" s="1574">
        <v>7</v>
      </c>
      <c r="L5" s="1574">
        <v>8</v>
      </c>
      <c r="M5" s="1574">
        <v>9</v>
      </c>
      <c r="N5" s="1574">
        <v>10</v>
      </c>
      <c r="O5" s="1574">
        <v>11</v>
      </c>
      <c r="P5" s="1574">
        <v>12</v>
      </c>
      <c r="Q5" s="1574">
        <v>13</v>
      </c>
      <c r="R5" s="1574">
        <v>14</v>
      </c>
      <c r="S5" s="1574">
        <v>15</v>
      </c>
      <c r="T5" s="1574">
        <v>16</v>
      </c>
      <c r="U5" s="1574">
        <v>17</v>
      </c>
      <c r="V5" s="1574">
        <v>18</v>
      </c>
      <c r="W5" s="1574">
        <v>19</v>
      </c>
      <c r="X5" s="1574">
        <v>20</v>
      </c>
      <c r="Y5" s="1574">
        <v>21</v>
      </c>
      <c r="Z5" s="1574">
        <v>22</v>
      </c>
      <c r="AA5" s="1574">
        <v>23</v>
      </c>
      <c r="AB5" s="1573">
        <v>24</v>
      </c>
      <c r="AC5" s="1591"/>
    </row>
    <row r="6" spans="1:29" ht="13.5" customHeight="1">
      <c r="A6" s="1597" t="s">
        <v>382</v>
      </c>
      <c r="B6" s="1598"/>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9"/>
    </row>
    <row r="7" spans="1:29" ht="13.5" customHeight="1">
      <c r="A7" s="1606" t="s">
        <v>812</v>
      </c>
      <c r="B7" s="1607"/>
      <c r="C7" s="1608"/>
      <c r="D7" s="1601"/>
      <c r="E7" s="1602"/>
      <c r="F7" s="1603"/>
      <c r="G7" s="1603"/>
      <c r="H7" s="1603"/>
      <c r="I7" s="1603"/>
      <c r="J7" s="1603"/>
      <c r="K7" s="1603"/>
      <c r="L7" s="1603"/>
      <c r="M7" s="1603"/>
      <c r="N7" s="1603"/>
      <c r="O7" s="1603"/>
      <c r="P7" s="1603"/>
      <c r="Q7" s="1603"/>
      <c r="R7" s="1603"/>
      <c r="S7" s="1603"/>
      <c r="T7" s="1603"/>
      <c r="U7" s="1603"/>
      <c r="V7" s="1603"/>
      <c r="W7" s="1603"/>
      <c r="X7" s="1603"/>
      <c r="Y7" s="1603"/>
      <c r="Z7" s="1603"/>
      <c r="AA7" s="1603"/>
      <c r="AB7" s="1604"/>
      <c r="AC7" s="1605"/>
    </row>
    <row r="8" spans="1:29" ht="13.5" customHeight="1">
      <c r="A8" s="1306">
        <v>2</v>
      </c>
      <c r="B8" s="1305">
        <v>201</v>
      </c>
      <c r="C8" s="1592" t="s">
        <v>347</v>
      </c>
      <c r="D8" s="1303">
        <v>54.8</v>
      </c>
      <c r="E8" s="1293">
        <v>0</v>
      </c>
      <c r="F8" s="1292">
        <v>0</v>
      </c>
      <c r="G8" s="1292">
        <v>0</v>
      </c>
      <c r="H8" s="1292">
        <v>0</v>
      </c>
      <c r="I8" s="1292">
        <v>0</v>
      </c>
      <c r="J8" s="1292">
        <v>0</v>
      </c>
      <c r="K8" s="1292">
        <v>0</v>
      </c>
      <c r="L8" s="1292">
        <v>0</v>
      </c>
      <c r="M8" s="1292">
        <v>684</v>
      </c>
      <c r="N8" s="1292">
        <v>708</v>
      </c>
      <c r="O8" s="1292">
        <v>714</v>
      </c>
      <c r="P8" s="1292">
        <v>750</v>
      </c>
      <c r="Q8" s="1292">
        <v>738</v>
      </c>
      <c r="R8" s="1292">
        <v>720</v>
      </c>
      <c r="S8" s="1292">
        <v>720</v>
      </c>
      <c r="T8" s="1292">
        <v>714</v>
      </c>
      <c r="U8" s="1292">
        <v>696</v>
      </c>
      <c r="V8" s="1292">
        <v>678</v>
      </c>
      <c r="W8" s="1292">
        <v>0</v>
      </c>
      <c r="X8" s="1292">
        <v>0</v>
      </c>
      <c r="Y8" s="1292">
        <v>0</v>
      </c>
      <c r="Z8" s="1292">
        <v>0</v>
      </c>
      <c r="AA8" s="1292">
        <v>0</v>
      </c>
      <c r="AB8" s="1571">
        <v>0</v>
      </c>
      <c r="AC8" s="1570"/>
    </row>
    <row r="9" spans="1:29" ht="13.5" customHeight="1">
      <c r="A9" s="1306">
        <v>2</v>
      </c>
      <c r="B9" s="1305">
        <v>204</v>
      </c>
      <c r="C9" s="1572" t="s">
        <v>531</v>
      </c>
      <c r="D9" s="1303">
        <v>13.2</v>
      </c>
      <c r="E9" s="1293">
        <v>0</v>
      </c>
      <c r="F9" s="1292">
        <v>0</v>
      </c>
      <c r="G9" s="1292">
        <v>0</v>
      </c>
      <c r="H9" s="1292">
        <v>0</v>
      </c>
      <c r="I9" s="1292">
        <v>0</v>
      </c>
      <c r="J9" s="1292">
        <v>0</v>
      </c>
      <c r="K9" s="1292">
        <v>0</v>
      </c>
      <c r="L9" s="1292">
        <v>0</v>
      </c>
      <c r="M9" s="1292">
        <v>464</v>
      </c>
      <c r="N9" s="1292">
        <v>480</v>
      </c>
      <c r="O9" s="1292">
        <v>484</v>
      </c>
      <c r="P9" s="1292">
        <v>508</v>
      </c>
      <c r="Q9" s="1292">
        <v>500</v>
      </c>
      <c r="R9" s="1292">
        <v>488</v>
      </c>
      <c r="S9" s="1292">
        <v>488</v>
      </c>
      <c r="T9" s="1292">
        <v>484</v>
      </c>
      <c r="U9" s="1292">
        <v>472</v>
      </c>
      <c r="V9" s="1292">
        <v>460</v>
      </c>
      <c r="W9" s="1292">
        <v>0</v>
      </c>
      <c r="X9" s="1292">
        <v>0</v>
      </c>
      <c r="Y9" s="1292">
        <v>0</v>
      </c>
      <c r="Z9" s="1292">
        <v>0</v>
      </c>
      <c r="AA9" s="1292">
        <v>0</v>
      </c>
      <c r="AB9" s="1571">
        <v>0</v>
      </c>
      <c r="AC9" s="1570"/>
    </row>
    <row r="10" spans="1:29" ht="13.5" customHeight="1">
      <c r="A10" s="1306">
        <v>2</v>
      </c>
      <c r="B10" s="1305">
        <v>205</v>
      </c>
      <c r="C10" s="1572" t="s">
        <v>557</v>
      </c>
      <c r="D10" s="1303">
        <v>13.2</v>
      </c>
      <c r="E10" s="1293">
        <v>0</v>
      </c>
      <c r="F10" s="1292">
        <v>0</v>
      </c>
      <c r="G10" s="1292">
        <v>0</v>
      </c>
      <c r="H10" s="1292">
        <v>0</v>
      </c>
      <c r="I10" s="1292">
        <v>0</v>
      </c>
      <c r="J10" s="1292">
        <v>0</v>
      </c>
      <c r="K10" s="1292">
        <v>0</v>
      </c>
      <c r="L10" s="1292">
        <v>0</v>
      </c>
      <c r="M10" s="1292">
        <v>464</v>
      </c>
      <c r="N10" s="1292">
        <v>480</v>
      </c>
      <c r="O10" s="1292">
        <v>484</v>
      </c>
      <c r="P10" s="1292">
        <v>508</v>
      </c>
      <c r="Q10" s="1292">
        <v>500</v>
      </c>
      <c r="R10" s="1292">
        <v>488</v>
      </c>
      <c r="S10" s="1292">
        <v>488</v>
      </c>
      <c r="T10" s="1292">
        <v>484</v>
      </c>
      <c r="U10" s="1292">
        <v>472</v>
      </c>
      <c r="V10" s="1292">
        <v>460</v>
      </c>
      <c r="W10" s="1292">
        <v>0</v>
      </c>
      <c r="X10" s="1292">
        <v>0</v>
      </c>
      <c r="Y10" s="1292">
        <v>0</v>
      </c>
      <c r="Z10" s="1292">
        <v>0</v>
      </c>
      <c r="AA10" s="1292">
        <v>0</v>
      </c>
      <c r="AB10" s="1571">
        <v>0</v>
      </c>
      <c r="AC10" s="1570"/>
    </row>
    <row r="11" spans="1:29" ht="13.5" customHeight="1">
      <c r="A11" s="1409">
        <v>2</v>
      </c>
      <c r="B11" s="1410">
        <v>208</v>
      </c>
      <c r="C11" s="1594" t="s">
        <v>588</v>
      </c>
      <c r="D11" s="1412">
        <v>53.3</v>
      </c>
      <c r="E11" s="1416">
        <v>0</v>
      </c>
      <c r="F11" s="1417">
        <v>0</v>
      </c>
      <c r="G11" s="1417">
        <v>0</v>
      </c>
      <c r="H11" s="1417">
        <v>0</v>
      </c>
      <c r="I11" s="1417">
        <v>0</v>
      </c>
      <c r="J11" s="1417">
        <v>0</v>
      </c>
      <c r="K11" s="1417">
        <v>0</v>
      </c>
      <c r="L11" s="1417">
        <v>0</v>
      </c>
      <c r="M11" s="1417">
        <v>425</v>
      </c>
      <c r="N11" s="1417">
        <v>440</v>
      </c>
      <c r="O11" s="1417">
        <v>444</v>
      </c>
      <c r="P11" s="1417">
        <v>466</v>
      </c>
      <c r="Q11" s="1417">
        <v>458</v>
      </c>
      <c r="R11" s="1417">
        <v>447</v>
      </c>
      <c r="S11" s="1417">
        <v>447</v>
      </c>
      <c r="T11" s="1417">
        <v>444</v>
      </c>
      <c r="U11" s="1417">
        <v>433</v>
      </c>
      <c r="V11" s="1417">
        <v>422</v>
      </c>
      <c r="W11" s="1417">
        <v>0</v>
      </c>
      <c r="X11" s="1417">
        <v>0</v>
      </c>
      <c r="Y11" s="1417">
        <v>0</v>
      </c>
      <c r="Z11" s="1417">
        <v>0</v>
      </c>
      <c r="AA11" s="1417">
        <v>0</v>
      </c>
      <c r="AB11" s="1595">
        <v>0</v>
      </c>
      <c r="AC11" s="1596"/>
    </row>
    <row r="12" spans="1:29" ht="13.5" customHeight="1">
      <c r="A12" s="1611"/>
      <c r="B12" s="1612"/>
      <c r="C12" s="1613" t="s">
        <v>813</v>
      </c>
      <c r="D12" s="1614"/>
      <c r="E12" s="1615">
        <v>0</v>
      </c>
      <c r="F12" s="1616">
        <v>0</v>
      </c>
      <c r="G12" s="1616">
        <v>0</v>
      </c>
      <c r="H12" s="1616">
        <v>0</v>
      </c>
      <c r="I12" s="1616">
        <v>0</v>
      </c>
      <c r="J12" s="1616">
        <v>0</v>
      </c>
      <c r="K12" s="1616">
        <v>0</v>
      </c>
      <c r="L12" s="1616">
        <v>0</v>
      </c>
      <c r="M12" s="1616">
        <v>123</v>
      </c>
      <c r="N12" s="1616">
        <v>123</v>
      </c>
      <c r="O12" s="1616">
        <v>123</v>
      </c>
      <c r="P12" s="1616">
        <v>123</v>
      </c>
      <c r="Q12" s="1616">
        <v>123</v>
      </c>
      <c r="R12" s="1616">
        <v>123</v>
      </c>
      <c r="S12" s="1616">
        <v>123</v>
      </c>
      <c r="T12" s="1616">
        <v>123</v>
      </c>
      <c r="U12" s="1616">
        <v>123</v>
      </c>
      <c r="V12" s="1616">
        <v>123</v>
      </c>
      <c r="W12" s="1616">
        <v>0</v>
      </c>
      <c r="X12" s="1616">
        <v>0</v>
      </c>
      <c r="Y12" s="1616">
        <v>0</v>
      </c>
      <c r="Z12" s="1616">
        <v>0</v>
      </c>
      <c r="AA12" s="1616">
        <v>0</v>
      </c>
      <c r="AB12" s="1616">
        <v>0</v>
      </c>
      <c r="AC12" s="1617"/>
    </row>
    <row r="13" spans="1:29" ht="13.5" customHeight="1" thickBot="1">
      <c r="A13" s="1611"/>
      <c r="B13" s="1612"/>
      <c r="C13" s="1613" t="s">
        <v>814</v>
      </c>
      <c r="D13" s="1614"/>
      <c r="E13" s="1615">
        <v>0</v>
      </c>
      <c r="F13" s="1616">
        <v>0</v>
      </c>
      <c r="G13" s="1616">
        <v>0</v>
      </c>
      <c r="H13" s="1616">
        <v>0</v>
      </c>
      <c r="I13" s="1616">
        <v>0</v>
      </c>
      <c r="J13" s="1616">
        <v>0</v>
      </c>
      <c r="K13" s="1616">
        <v>0</v>
      </c>
      <c r="L13" s="1616">
        <v>0</v>
      </c>
      <c r="M13" s="1616">
        <v>512</v>
      </c>
      <c r="N13" s="1616">
        <v>512</v>
      </c>
      <c r="O13" s="1616">
        <v>512</v>
      </c>
      <c r="P13" s="1616">
        <v>512</v>
      </c>
      <c r="Q13" s="1616">
        <v>512</v>
      </c>
      <c r="R13" s="1616">
        <v>512</v>
      </c>
      <c r="S13" s="1616">
        <v>512</v>
      </c>
      <c r="T13" s="1616">
        <v>512</v>
      </c>
      <c r="U13" s="1616">
        <v>512</v>
      </c>
      <c r="V13" s="1616">
        <v>512</v>
      </c>
      <c r="W13" s="1616">
        <v>0</v>
      </c>
      <c r="X13" s="1616">
        <v>0</v>
      </c>
      <c r="Y13" s="1616">
        <v>0</v>
      </c>
      <c r="Z13" s="1616">
        <v>0</v>
      </c>
      <c r="AA13" s="1616">
        <v>0</v>
      </c>
      <c r="AB13" s="1616">
        <v>0</v>
      </c>
      <c r="AC13" s="1617"/>
    </row>
    <row r="14" spans="1:29" ht="13.5" customHeight="1" thickTop="1">
      <c r="A14" s="1622" t="s">
        <v>815</v>
      </c>
      <c r="B14" s="1568"/>
      <c r="C14" s="1569"/>
      <c r="D14" s="1623">
        <v>134.5</v>
      </c>
      <c r="E14" s="1619">
        <v>0</v>
      </c>
      <c r="F14" s="1620">
        <v>0</v>
      </c>
      <c r="G14" s="1620">
        <v>0</v>
      </c>
      <c r="H14" s="1620">
        <v>0</v>
      </c>
      <c r="I14" s="1620">
        <v>0</v>
      </c>
      <c r="J14" s="1620">
        <v>0</v>
      </c>
      <c r="K14" s="1620">
        <v>0</v>
      </c>
      <c r="L14" s="1620">
        <v>0</v>
      </c>
      <c r="M14" s="1620">
        <v>2672</v>
      </c>
      <c r="N14" s="1620">
        <v>2743</v>
      </c>
      <c r="O14" s="1620">
        <v>2761</v>
      </c>
      <c r="P14" s="1620">
        <v>2867</v>
      </c>
      <c r="Q14" s="1620">
        <v>2831</v>
      </c>
      <c r="R14" s="1620">
        <v>2778</v>
      </c>
      <c r="S14" s="1620">
        <v>2778</v>
      </c>
      <c r="T14" s="1620">
        <v>2761</v>
      </c>
      <c r="U14" s="1620">
        <v>2708</v>
      </c>
      <c r="V14" s="1620">
        <v>2655</v>
      </c>
      <c r="W14" s="1620">
        <v>0</v>
      </c>
      <c r="X14" s="1620">
        <v>0</v>
      </c>
      <c r="Y14" s="1620">
        <v>0</v>
      </c>
      <c r="Z14" s="1620">
        <v>0</v>
      </c>
      <c r="AA14" s="1620">
        <v>0</v>
      </c>
      <c r="AB14" s="1620">
        <v>0</v>
      </c>
      <c r="AC14" s="1621"/>
    </row>
    <row r="15" spans="1:29" ht="13.5" customHeight="1">
      <c r="A15" s="1409"/>
      <c r="B15" s="1410"/>
      <c r="C15" s="1630"/>
      <c r="D15" s="1412"/>
      <c r="E15" s="1416"/>
      <c r="F15" s="1417"/>
      <c r="G15" s="1417"/>
      <c r="H15" s="1417"/>
      <c r="I15" s="1417"/>
      <c r="J15" s="1417"/>
      <c r="K15" s="1417"/>
      <c r="L15" s="1417"/>
      <c r="M15" s="1417"/>
      <c r="N15" s="1417"/>
      <c r="O15" s="1417"/>
      <c r="P15" s="1417"/>
      <c r="Q15" s="1417"/>
      <c r="R15" s="1417"/>
      <c r="S15" s="1417"/>
      <c r="T15" s="1417"/>
      <c r="U15" s="1417"/>
      <c r="V15" s="1417"/>
      <c r="W15" s="1417"/>
      <c r="X15" s="1417"/>
      <c r="Y15" s="1417"/>
      <c r="Z15" s="1417"/>
      <c r="AA15" s="1417"/>
      <c r="AB15" s="1595"/>
      <c r="AC15" s="1596"/>
    </row>
    <row r="16" spans="1:29" ht="13.5" customHeight="1">
      <c r="A16" s="1606" t="s">
        <v>816</v>
      </c>
      <c r="B16" s="1607"/>
      <c r="C16" s="1608"/>
      <c r="D16" s="1601"/>
      <c r="E16" s="1602"/>
      <c r="F16" s="1603"/>
      <c r="G16" s="1603"/>
      <c r="H16" s="1603"/>
      <c r="I16" s="1603"/>
      <c r="J16" s="1603"/>
      <c r="K16" s="1603"/>
      <c r="L16" s="1603"/>
      <c r="M16" s="1603"/>
      <c r="N16" s="1603"/>
      <c r="O16" s="1603"/>
      <c r="P16" s="1603"/>
      <c r="Q16" s="1603"/>
      <c r="R16" s="1603"/>
      <c r="S16" s="1603"/>
      <c r="T16" s="1603"/>
      <c r="U16" s="1603"/>
      <c r="V16" s="1603"/>
      <c r="W16" s="1603"/>
      <c r="X16" s="1603"/>
      <c r="Y16" s="1603"/>
      <c r="Z16" s="1603"/>
      <c r="AA16" s="1603"/>
      <c r="AB16" s="1604"/>
      <c r="AC16" s="1605"/>
    </row>
    <row r="17" spans="1:29" ht="13.5" customHeight="1">
      <c r="A17" s="1306">
        <v>2</v>
      </c>
      <c r="B17" s="1305">
        <v>201</v>
      </c>
      <c r="C17" s="1592" t="s">
        <v>347</v>
      </c>
      <c r="D17" s="1303">
        <v>54.8</v>
      </c>
      <c r="E17" s="1293">
        <v>0</v>
      </c>
      <c r="F17" s="1292">
        <v>0</v>
      </c>
      <c r="G17" s="1292">
        <v>0</v>
      </c>
      <c r="H17" s="1292">
        <v>0</v>
      </c>
      <c r="I17" s="1292">
        <v>0</v>
      </c>
      <c r="J17" s="1292">
        <v>0</v>
      </c>
      <c r="K17" s="1292">
        <v>0</v>
      </c>
      <c r="L17" s="1292">
        <v>0</v>
      </c>
      <c r="M17" s="1292">
        <v>5316</v>
      </c>
      <c r="N17" s="1292">
        <v>4991</v>
      </c>
      <c r="O17" s="1292">
        <v>5256</v>
      </c>
      <c r="P17" s="1292">
        <v>5263</v>
      </c>
      <c r="Q17" s="1292">
        <v>5895</v>
      </c>
      <c r="R17" s="1292">
        <v>5908</v>
      </c>
      <c r="S17" s="1292">
        <v>5646</v>
      </c>
      <c r="T17" s="1292">
        <v>5264</v>
      </c>
      <c r="U17" s="1292">
        <v>4776</v>
      </c>
      <c r="V17" s="1292">
        <v>4330</v>
      </c>
      <c r="W17" s="1292">
        <v>0</v>
      </c>
      <c r="X17" s="1292">
        <v>0</v>
      </c>
      <c r="Y17" s="1292">
        <v>0</v>
      </c>
      <c r="Z17" s="1292">
        <v>0</v>
      </c>
      <c r="AA17" s="1292">
        <v>0</v>
      </c>
      <c r="AB17" s="1571">
        <v>0</v>
      </c>
      <c r="AC17" s="1570"/>
    </row>
    <row r="18" spans="1:29" ht="13.5" customHeight="1">
      <c r="A18" s="1306">
        <v>2</v>
      </c>
      <c r="B18" s="1305">
        <v>204</v>
      </c>
      <c r="C18" s="1572" t="s">
        <v>531</v>
      </c>
      <c r="D18" s="1303">
        <v>13.2</v>
      </c>
      <c r="E18" s="1293">
        <v>0</v>
      </c>
      <c r="F18" s="1292">
        <v>0</v>
      </c>
      <c r="G18" s="1292">
        <v>0</v>
      </c>
      <c r="H18" s="1292">
        <v>0</v>
      </c>
      <c r="I18" s="1292">
        <v>0</v>
      </c>
      <c r="J18" s="1292">
        <v>0</v>
      </c>
      <c r="K18" s="1292">
        <v>0</v>
      </c>
      <c r="L18" s="1292">
        <v>0</v>
      </c>
      <c r="M18" s="1292">
        <v>1180</v>
      </c>
      <c r="N18" s="1292">
        <v>1149</v>
      </c>
      <c r="O18" s="1292">
        <v>1170</v>
      </c>
      <c r="P18" s="1292">
        <v>1180</v>
      </c>
      <c r="Q18" s="1292">
        <v>1192</v>
      </c>
      <c r="R18" s="1292">
        <v>1192</v>
      </c>
      <c r="S18" s="1292">
        <v>1169</v>
      </c>
      <c r="T18" s="1292">
        <v>1159</v>
      </c>
      <c r="U18" s="1292">
        <v>1123</v>
      </c>
      <c r="V18" s="1292">
        <v>1100</v>
      </c>
      <c r="W18" s="1292">
        <v>0</v>
      </c>
      <c r="X18" s="1292">
        <v>0</v>
      </c>
      <c r="Y18" s="1292">
        <v>0</v>
      </c>
      <c r="Z18" s="1292">
        <v>0</v>
      </c>
      <c r="AA18" s="1292">
        <v>0</v>
      </c>
      <c r="AB18" s="1571">
        <v>0</v>
      </c>
      <c r="AC18" s="1570"/>
    </row>
    <row r="19" spans="1:29" ht="13.5" customHeight="1">
      <c r="A19" s="1306">
        <v>2</v>
      </c>
      <c r="B19" s="1305">
        <v>205</v>
      </c>
      <c r="C19" s="1572" t="s">
        <v>557</v>
      </c>
      <c r="D19" s="1303">
        <v>13.2</v>
      </c>
      <c r="E19" s="1293">
        <v>0</v>
      </c>
      <c r="F19" s="1292">
        <v>0</v>
      </c>
      <c r="G19" s="1292">
        <v>0</v>
      </c>
      <c r="H19" s="1292">
        <v>0</v>
      </c>
      <c r="I19" s="1292">
        <v>0</v>
      </c>
      <c r="J19" s="1292">
        <v>0</v>
      </c>
      <c r="K19" s="1292">
        <v>0</v>
      </c>
      <c r="L19" s="1292">
        <v>0</v>
      </c>
      <c r="M19" s="1292">
        <v>1280</v>
      </c>
      <c r="N19" s="1292">
        <v>1274</v>
      </c>
      <c r="O19" s="1292">
        <v>1313</v>
      </c>
      <c r="P19" s="1292">
        <v>1329</v>
      </c>
      <c r="Q19" s="1292">
        <v>1329</v>
      </c>
      <c r="R19" s="1292">
        <v>1319</v>
      </c>
      <c r="S19" s="1292">
        <v>1291</v>
      </c>
      <c r="T19" s="1292">
        <v>1274</v>
      </c>
      <c r="U19" s="1292">
        <v>1232</v>
      </c>
      <c r="V19" s="1292">
        <v>1196</v>
      </c>
      <c r="W19" s="1292">
        <v>0</v>
      </c>
      <c r="X19" s="1292">
        <v>0</v>
      </c>
      <c r="Y19" s="1292">
        <v>0</v>
      </c>
      <c r="Z19" s="1292">
        <v>0</v>
      </c>
      <c r="AA19" s="1292">
        <v>0</v>
      </c>
      <c r="AB19" s="1571">
        <v>0</v>
      </c>
      <c r="AC19" s="1570"/>
    </row>
    <row r="20" spans="1:29" ht="13.5" customHeight="1">
      <c r="A20" s="1409">
        <v>2</v>
      </c>
      <c r="B20" s="1410">
        <v>208</v>
      </c>
      <c r="C20" s="1594" t="s">
        <v>588</v>
      </c>
      <c r="D20" s="1412">
        <v>53.3</v>
      </c>
      <c r="E20" s="1416">
        <v>0</v>
      </c>
      <c r="F20" s="1417">
        <v>0</v>
      </c>
      <c r="G20" s="1417">
        <v>0</v>
      </c>
      <c r="H20" s="1417">
        <v>0</v>
      </c>
      <c r="I20" s="1417">
        <v>0</v>
      </c>
      <c r="J20" s="1417">
        <v>0</v>
      </c>
      <c r="K20" s="1417">
        <v>0</v>
      </c>
      <c r="L20" s="1417">
        <v>0</v>
      </c>
      <c r="M20" s="1417">
        <v>3701</v>
      </c>
      <c r="N20" s="1417">
        <v>3391</v>
      </c>
      <c r="O20" s="1417">
        <v>3491</v>
      </c>
      <c r="P20" s="1417">
        <v>3534</v>
      </c>
      <c r="Q20" s="1417">
        <v>3545</v>
      </c>
      <c r="R20" s="1417">
        <v>3523</v>
      </c>
      <c r="S20" s="1417">
        <v>3429</v>
      </c>
      <c r="T20" s="1417">
        <v>3313</v>
      </c>
      <c r="U20" s="1417">
        <v>3139</v>
      </c>
      <c r="V20" s="1417">
        <v>2956</v>
      </c>
      <c r="W20" s="1417">
        <v>0</v>
      </c>
      <c r="X20" s="1417">
        <v>0</v>
      </c>
      <c r="Y20" s="1417">
        <v>0</v>
      </c>
      <c r="Z20" s="1417">
        <v>0</v>
      </c>
      <c r="AA20" s="1417">
        <v>0</v>
      </c>
      <c r="AB20" s="1595">
        <v>0</v>
      </c>
      <c r="AC20" s="1596"/>
    </row>
    <row r="21" spans="1:29" ht="13.5" customHeight="1">
      <c r="A21" s="1611"/>
      <c r="B21" s="1612"/>
      <c r="C21" s="1613" t="s">
        <v>813</v>
      </c>
      <c r="D21" s="1614"/>
      <c r="E21" s="1615">
        <v>0</v>
      </c>
      <c r="F21" s="1616">
        <v>0</v>
      </c>
      <c r="G21" s="1616">
        <v>0</v>
      </c>
      <c r="H21" s="1616">
        <v>0</v>
      </c>
      <c r="I21" s="1616">
        <v>0</v>
      </c>
      <c r="J21" s="1616">
        <v>0</v>
      </c>
      <c r="K21" s="1616">
        <v>0</v>
      </c>
      <c r="L21" s="1616">
        <v>0</v>
      </c>
      <c r="M21" s="1616">
        <v>549</v>
      </c>
      <c r="N21" s="1616">
        <v>549</v>
      </c>
      <c r="O21" s="1616">
        <v>549</v>
      </c>
      <c r="P21" s="1616">
        <v>549</v>
      </c>
      <c r="Q21" s="1616">
        <v>549</v>
      </c>
      <c r="R21" s="1616">
        <v>549</v>
      </c>
      <c r="S21" s="1616">
        <v>549</v>
      </c>
      <c r="T21" s="1616">
        <v>549</v>
      </c>
      <c r="U21" s="1616">
        <v>549</v>
      </c>
      <c r="V21" s="1616">
        <v>549</v>
      </c>
      <c r="W21" s="1616">
        <v>0</v>
      </c>
      <c r="X21" s="1616">
        <v>0</v>
      </c>
      <c r="Y21" s="1616">
        <v>0</v>
      </c>
      <c r="Z21" s="1616">
        <v>0</v>
      </c>
      <c r="AA21" s="1616">
        <v>0</v>
      </c>
      <c r="AB21" s="1616">
        <v>0</v>
      </c>
      <c r="AC21" s="1617"/>
    </row>
    <row r="22" spans="1:29" ht="13.5" customHeight="1" thickBot="1">
      <c r="A22" s="1611"/>
      <c r="B22" s="1612"/>
      <c r="C22" s="1613" t="s">
        <v>817</v>
      </c>
      <c r="D22" s="1614"/>
      <c r="E22" s="1615">
        <v>0</v>
      </c>
      <c r="F22" s="1616">
        <v>0</v>
      </c>
      <c r="G22" s="1616">
        <v>0</v>
      </c>
      <c r="H22" s="1616">
        <v>0</v>
      </c>
      <c r="I22" s="1616">
        <v>0</v>
      </c>
      <c r="J22" s="1616">
        <v>0</v>
      </c>
      <c r="K22" s="1616">
        <v>0</v>
      </c>
      <c r="L22" s="1616">
        <v>0</v>
      </c>
      <c r="M22" s="1616">
        <v>124</v>
      </c>
      <c r="N22" s="1616">
        <v>124</v>
      </c>
      <c r="O22" s="1616">
        <v>124</v>
      </c>
      <c r="P22" s="1616">
        <v>124</v>
      </c>
      <c r="Q22" s="1616">
        <v>124</v>
      </c>
      <c r="R22" s="1616">
        <v>124</v>
      </c>
      <c r="S22" s="1616">
        <v>124</v>
      </c>
      <c r="T22" s="1616">
        <v>124</v>
      </c>
      <c r="U22" s="1616">
        <v>124</v>
      </c>
      <c r="V22" s="1616">
        <v>124</v>
      </c>
      <c r="W22" s="1616">
        <v>0</v>
      </c>
      <c r="X22" s="1616">
        <v>0</v>
      </c>
      <c r="Y22" s="1616">
        <v>0</v>
      </c>
      <c r="Z22" s="1616">
        <v>0</v>
      </c>
      <c r="AA22" s="1616">
        <v>0</v>
      </c>
      <c r="AB22" s="1616">
        <v>0</v>
      </c>
      <c r="AC22" s="1617"/>
    </row>
    <row r="23" spans="1:29" ht="13.5" customHeight="1" thickTop="1">
      <c r="A23" s="1622" t="s">
        <v>815</v>
      </c>
      <c r="B23" s="1568"/>
      <c r="C23" s="1569"/>
      <c r="D23" s="1623">
        <v>134.5</v>
      </c>
      <c r="E23" s="1619">
        <v>0</v>
      </c>
      <c r="F23" s="1620">
        <v>0</v>
      </c>
      <c r="G23" s="1620">
        <v>0</v>
      </c>
      <c r="H23" s="1620">
        <v>0</v>
      </c>
      <c r="I23" s="1620">
        <v>0</v>
      </c>
      <c r="J23" s="1620">
        <v>0</v>
      </c>
      <c r="K23" s="1620">
        <v>0</v>
      </c>
      <c r="L23" s="1620">
        <v>0</v>
      </c>
      <c r="M23" s="1620">
        <v>12150</v>
      </c>
      <c r="N23" s="1620">
        <v>11478</v>
      </c>
      <c r="O23" s="1620">
        <v>11903</v>
      </c>
      <c r="P23" s="1620">
        <v>11979</v>
      </c>
      <c r="Q23" s="1620">
        <v>12634</v>
      </c>
      <c r="R23" s="1620">
        <v>12615</v>
      </c>
      <c r="S23" s="1620">
        <v>12208</v>
      </c>
      <c r="T23" s="1620">
        <v>11683</v>
      </c>
      <c r="U23" s="1620">
        <v>10943</v>
      </c>
      <c r="V23" s="1620">
        <v>10255</v>
      </c>
      <c r="W23" s="1620">
        <v>0</v>
      </c>
      <c r="X23" s="1620">
        <v>0</v>
      </c>
      <c r="Y23" s="1620">
        <v>0</v>
      </c>
      <c r="Z23" s="1620">
        <v>0</v>
      </c>
      <c r="AA23" s="1620">
        <v>0</v>
      </c>
      <c r="AB23" s="1620">
        <v>0</v>
      </c>
      <c r="AC23" s="1621"/>
    </row>
    <row r="24" spans="1:29" ht="13.5" customHeight="1" thickBot="1">
      <c r="A24" s="1409"/>
      <c r="B24" s="1410"/>
      <c r="C24" s="1630"/>
      <c r="D24" s="1412"/>
      <c r="E24" s="1416"/>
      <c r="F24" s="1417"/>
      <c r="G24" s="1417"/>
      <c r="H24" s="1417"/>
      <c r="I24" s="1417"/>
      <c r="J24" s="1417"/>
      <c r="K24" s="1417"/>
      <c r="L24" s="1417"/>
      <c r="M24" s="1417"/>
      <c r="N24" s="1417"/>
      <c r="O24" s="1417"/>
      <c r="P24" s="1417"/>
      <c r="Q24" s="1417"/>
      <c r="R24" s="1417"/>
      <c r="S24" s="1417"/>
      <c r="T24" s="1417"/>
      <c r="U24" s="1417"/>
      <c r="V24" s="1417"/>
      <c r="W24" s="1417"/>
      <c r="X24" s="1417"/>
      <c r="Y24" s="1417"/>
      <c r="Z24" s="1417"/>
      <c r="AA24" s="1417"/>
      <c r="AB24" s="1595"/>
      <c r="AC24" s="1596"/>
    </row>
    <row r="25" spans="1:29" ht="13.5" customHeight="1" thickTop="1">
      <c r="A25" s="1635" t="s">
        <v>818</v>
      </c>
      <c r="B25" s="1636"/>
      <c r="C25" s="1636"/>
      <c r="D25" s="1631">
        <v>134.5</v>
      </c>
      <c r="E25" s="1632">
        <v>0</v>
      </c>
      <c r="F25" s="1633">
        <v>0</v>
      </c>
      <c r="G25" s="1633">
        <v>0</v>
      </c>
      <c r="H25" s="1633">
        <v>0</v>
      </c>
      <c r="I25" s="1633">
        <v>0</v>
      </c>
      <c r="J25" s="1633">
        <v>0</v>
      </c>
      <c r="K25" s="1633">
        <v>0</v>
      </c>
      <c r="L25" s="1633">
        <v>0</v>
      </c>
      <c r="M25" s="1633">
        <v>14822</v>
      </c>
      <c r="N25" s="1633">
        <v>14221</v>
      </c>
      <c r="O25" s="1633">
        <v>14664</v>
      </c>
      <c r="P25" s="1633">
        <v>14846</v>
      </c>
      <c r="Q25" s="1633">
        <v>15465</v>
      </c>
      <c r="R25" s="1633">
        <v>15393</v>
      </c>
      <c r="S25" s="1633">
        <v>14986</v>
      </c>
      <c r="T25" s="1633">
        <v>14444</v>
      </c>
      <c r="U25" s="1633">
        <v>13651</v>
      </c>
      <c r="V25" s="1633">
        <v>12910</v>
      </c>
      <c r="W25" s="1633">
        <v>0</v>
      </c>
      <c r="X25" s="1633">
        <v>0</v>
      </c>
      <c r="Y25" s="1633">
        <v>0</v>
      </c>
      <c r="Z25" s="1633">
        <v>0</v>
      </c>
      <c r="AA25" s="1633">
        <v>0</v>
      </c>
      <c r="AB25" s="1633">
        <v>0</v>
      </c>
      <c r="AC25" s="1634"/>
    </row>
    <row r="26" spans="1:29" ht="13.5" customHeight="1">
      <c r="A26" s="1409"/>
      <c r="B26" s="1410"/>
      <c r="C26" s="1630"/>
      <c r="D26" s="1412"/>
      <c r="E26" s="1416"/>
      <c r="F26" s="1417"/>
      <c r="G26" s="1417"/>
      <c r="H26" s="1417"/>
      <c r="I26" s="1417"/>
      <c r="J26" s="1417"/>
      <c r="K26" s="1417"/>
      <c r="L26" s="1417"/>
      <c r="M26" s="1417"/>
      <c r="N26" s="1417"/>
      <c r="O26" s="1417"/>
      <c r="P26" s="1417"/>
      <c r="Q26" s="1417"/>
      <c r="R26" s="1417"/>
      <c r="S26" s="1417"/>
      <c r="T26" s="1417"/>
      <c r="U26" s="1417"/>
      <c r="V26" s="1417"/>
      <c r="W26" s="1417"/>
      <c r="X26" s="1417"/>
      <c r="Y26" s="1417"/>
      <c r="Z26" s="1417"/>
      <c r="AA26" s="1417"/>
      <c r="AB26" s="1595"/>
      <c r="AC26" s="1596"/>
    </row>
    <row r="27" spans="1:29" ht="13.5" customHeight="1">
      <c r="A27" s="1609" t="s">
        <v>384</v>
      </c>
      <c r="B27" s="1598"/>
      <c r="C27" s="1598"/>
      <c r="D27" s="1598"/>
      <c r="E27" s="1598"/>
      <c r="F27" s="1598"/>
      <c r="G27" s="1598"/>
      <c r="H27" s="1598"/>
      <c r="I27" s="1598"/>
      <c r="J27" s="1598"/>
      <c r="K27" s="1598"/>
      <c r="L27" s="1598"/>
      <c r="M27" s="1598"/>
      <c r="N27" s="1598"/>
      <c r="O27" s="1598"/>
      <c r="P27" s="1598"/>
      <c r="Q27" s="1598"/>
      <c r="R27" s="1598"/>
      <c r="S27" s="1598"/>
      <c r="T27" s="1598"/>
      <c r="U27" s="1598"/>
      <c r="V27" s="1598"/>
      <c r="W27" s="1598"/>
      <c r="X27" s="1598"/>
      <c r="Y27" s="1598"/>
      <c r="Z27" s="1598"/>
      <c r="AA27" s="1598"/>
      <c r="AB27" s="1598"/>
      <c r="AC27" s="1599"/>
    </row>
    <row r="28" spans="1:29" ht="13.5" customHeight="1">
      <c r="A28" s="1606" t="s">
        <v>812</v>
      </c>
      <c r="B28" s="1607"/>
      <c r="C28" s="1608"/>
      <c r="D28" s="1601"/>
      <c r="E28" s="1602"/>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4"/>
      <c r="AC28" s="1605"/>
    </row>
    <row r="29" spans="1:29" ht="13.5" customHeight="1">
      <c r="A29" s="1306">
        <v>2</v>
      </c>
      <c r="B29" s="1305">
        <v>201</v>
      </c>
      <c r="C29" s="1592" t="s">
        <v>347</v>
      </c>
      <c r="D29" s="1303">
        <v>54.8</v>
      </c>
      <c r="E29" s="1293">
        <v>0</v>
      </c>
      <c r="F29" s="1292">
        <v>0</v>
      </c>
      <c r="G29" s="1292">
        <v>0</v>
      </c>
      <c r="H29" s="1292">
        <v>0</v>
      </c>
      <c r="I29" s="1292">
        <v>0</v>
      </c>
      <c r="J29" s="1292">
        <v>0</v>
      </c>
      <c r="K29" s="1292">
        <v>0</v>
      </c>
      <c r="L29" s="1292">
        <v>0</v>
      </c>
      <c r="M29" s="1292">
        <v>552</v>
      </c>
      <c r="N29" s="1292">
        <v>570</v>
      </c>
      <c r="O29" s="1292">
        <v>594</v>
      </c>
      <c r="P29" s="1292">
        <v>612</v>
      </c>
      <c r="Q29" s="1292">
        <v>624</v>
      </c>
      <c r="R29" s="1292">
        <v>606</v>
      </c>
      <c r="S29" s="1292">
        <v>600</v>
      </c>
      <c r="T29" s="1292">
        <v>594</v>
      </c>
      <c r="U29" s="1292">
        <v>594</v>
      </c>
      <c r="V29" s="1292">
        <v>576</v>
      </c>
      <c r="W29" s="1292">
        <v>0</v>
      </c>
      <c r="X29" s="1292">
        <v>0</v>
      </c>
      <c r="Y29" s="1292">
        <v>0</v>
      </c>
      <c r="Z29" s="1292">
        <v>0</v>
      </c>
      <c r="AA29" s="1292">
        <v>0</v>
      </c>
      <c r="AB29" s="1571">
        <v>0</v>
      </c>
      <c r="AC29" s="1570"/>
    </row>
    <row r="30" spans="1:29" ht="13.5" customHeight="1">
      <c r="A30" s="1306">
        <v>2</v>
      </c>
      <c r="B30" s="1305">
        <v>204</v>
      </c>
      <c r="C30" s="1572" t="s">
        <v>531</v>
      </c>
      <c r="D30" s="1303">
        <v>13.2</v>
      </c>
      <c r="E30" s="1293">
        <v>0</v>
      </c>
      <c r="F30" s="1292">
        <v>0</v>
      </c>
      <c r="G30" s="1292">
        <v>0</v>
      </c>
      <c r="H30" s="1292">
        <v>0</v>
      </c>
      <c r="I30" s="1292">
        <v>0</v>
      </c>
      <c r="J30" s="1292">
        <v>0</v>
      </c>
      <c r="K30" s="1292">
        <v>0</v>
      </c>
      <c r="L30" s="1292">
        <v>0</v>
      </c>
      <c r="M30" s="1292">
        <v>376</v>
      </c>
      <c r="N30" s="1292">
        <v>388</v>
      </c>
      <c r="O30" s="1292">
        <v>404</v>
      </c>
      <c r="P30" s="1292">
        <v>416</v>
      </c>
      <c r="Q30" s="1292">
        <v>424</v>
      </c>
      <c r="R30" s="1292">
        <v>412</v>
      </c>
      <c r="S30" s="1292">
        <v>408</v>
      </c>
      <c r="T30" s="1292">
        <v>404</v>
      </c>
      <c r="U30" s="1292">
        <v>404</v>
      </c>
      <c r="V30" s="1292">
        <v>392</v>
      </c>
      <c r="W30" s="1292">
        <v>0</v>
      </c>
      <c r="X30" s="1292">
        <v>0</v>
      </c>
      <c r="Y30" s="1292">
        <v>0</v>
      </c>
      <c r="Z30" s="1292">
        <v>0</v>
      </c>
      <c r="AA30" s="1292">
        <v>0</v>
      </c>
      <c r="AB30" s="1571">
        <v>0</v>
      </c>
      <c r="AC30" s="1570"/>
    </row>
    <row r="31" spans="1:29" ht="13.5" customHeight="1">
      <c r="A31" s="1306">
        <v>2</v>
      </c>
      <c r="B31" s="1305">
        <v>205</v>
      </c>
      <c r="C31" s="1572" t="s">
        <v>557</v>
      </c>
      <c r="D31" s="1303">
        <v>13.2</v>
      </c>
      <c r="E31" s="1293">
        <v>0</v>
      </c>
      <c r="F31" s="1292">
        <v>0</v>
      </c>
      <c r="G31" s="1292">
        <v>0</v>
      </c>
      <c r="H31" s="1292">
        <v>0</v>
      </c>
      <c r="I31" s="1292">
        <v>0</v>
      </c>
      <c r="J31" s="1292">
        <v>0</v>
      </c>
      <c r="K31" s="1292">
        <v>0</v>
      </c>
      <c r="L31" s="1292">
        <v>0</v>
      </c>
      <c r="M31" s="1292">
        <v>376</v>
      </c>
      <c r="N31" s="1292">
        <v>388</v>
      </c>
      <c r="O31" s="1292">
        <v>404</v>
      </c>
      <c r="P31" s="1292">
        <v>416</v>
      </c>
      <c r="Q31" s="1292">
        <v>424</v>
      </c>
      <c r="R31" s="1292">
        <v>412</v>
      </c>
      <c r="S31" s="1292">
        <v>408</v>
      </c>
      <c r="T31" s="1292">
        <v>404</v>
      </c>
      <c r="U31" s="1292">
        <v>404</v>
      </c>
      <c r="V31" s="1292">
        <v>392</v>
      </c>
      <c r="W31" s="1292">
        <v>0</v>
      </c>
      <c r="X31" s="1292">
        <v>0</v>
      </c>
      <c r="Y31" s="1292">
        <v>0</v>
      </c>
      <c r="Z31" s="1292">
        <v>0</v>
      </c>
      <c r="AA31" s="1292">
        <v>0</v>
      </c>
      <c r="AB31" s="1571">
        <v>0</v>
      </c>
      <c r="AC31" s="1570"/>
    </row>
    <row r="32" spans="1:29" ht="13.5" customHeight="1">
      <c r="A32" s="1409">
        <v>2</v>
      </c>
      <c r="B32" s="1410">
        <v>208</v>
      </c>
      <c r="C32" s="1594" t="s">
        <v>588</v>
      </c>
      <c r="D32" s="1412">
        <v>53.3</v>
      </c>
      <c r="E32" s="1416">
        <v>0</v>
      </c>
      <c r="F32" s="1417">
        <v>0</v>
      </c>
      <c r="G32" s="1417">
        <v>0</v>
      </c>
      <c r="H32" s="1417">
        <v>0</v>
      </c>
      <c r="I32" s="1417">
        <v>0</v>
      </c>
      <c r="J32" s="1417">
        <v>0</v>
      </c>
      <c r="K32" s="1417">
        <v>0</v>
      </c>
      <c r="L32" s="1417">
        <v>0</v>
      </c>
      <c r="M32" s="1417">
        <v>345</v>
      </c>
      <c r="N32" s="1417">
        <v>356</v>
      </c>
      <c r="O32" s="1417">
        <v>370</v>
      </c>
      <c r="P32" s="1417">
        <v>381</v>
      </c>
      <c r="Q32" s="1417">
        <v>389</v>
      </c>
      <c r="R32" s="1417">
        <v>378</v>
      </c>
      <c r="S32" s="1417">
        <v>374</v>
      </c>
      <c r="T32" s="1417">
        <v>370</v>
      </c>
      <c r="U32" s="1417">
        <v>370</v>
      </c>
      <c r="V32" s="1417">
        <v>359</v>
      </c>
      <c r="W32" s="1417">
        <v>0</v>
      </c>
      <c r="X32" s="1417">
        <v>0</v>
      </c>
      <c r="Y32" s="1417">
        <v>0</v>
      </c>
      <c r="Z32" s="1417">
        <v>0</v>
      </c>
      <c r="AA32" s="1417">
        <v>0</v>
      </c>
      <c r="AB32" s="1595">
        <v>0</v>
      </c>
      <c r="AC32" s="1596"/>
    </row>
    <row r="33" spans="1:29" ht="13.5" customHeight="1">
      <c r="A33" s="1611"/>
      <c r="B33" s="1612"/>
      <c r="C33" s="1613" t="s">
        <v>813</v>
      </c>
      <c r="D33" s="1614"/>
      <c r="E33" s="1615">
        <v>0</v>
      </c>
      <c r="F33" s="1616">
        <v>0</v>
      </c>
      <c r="G33" s="1616">
        <v>0</v>
      </c>
      <c r="H33" s="1616">
        <v>0</v>
      </c>
      <c r="I33" s="1616">
        <v>0</v>
      </c>
      <c r="J33" s="1616">
        <v>0</v>
      </c>
      <c r="K33" s="1616">
        <v>0</v>
      </c>
      <c r="L33" s="1616">
        <v>0</v>
      </c>
      <c r="M33" s="1616">
        <v>123</v>
      </c>
      <c r="N33" s="1616">
        <v>123</v>
      </c>
      <c r="O33" s="1616">
        <v>123</v>
      </c>
      <c r="P33" s="1616">
        <v>123</v>
      </c>
      <c r="Q33" s="1616">
        <v>123</v>
      </c>
      <c r="R33" s="1616">
        <v>123</v>
      </c>
      <c r="S33" s="1616">
        <v>123</v>
      </c>
      <c r="T33" s="1616">
        <v>123</v>
      </c>
      <c r="U33" s="1616">
        <v>123</v>
      </c>
      <c r="V33" s="1616">
        <v>123</v>
      </c>
      <c r="W33" s="1616">
        <v>0</v>
      </c>
      <c r="X33" s="1616">
        <v>0</v>
      </c>
      <c r="Y33" s="1616">
        <v>0</v>
      </c>
      <c r="Z33" s="1616">
        <v>0</v>
      </c>
      <c r="AA33" s="1616">
        <v>0</v>
      </c>
      <c r="AB33" s="1616">
        <v>0</v>
      </c>
      <c r="AC33" s="1617"/>
    </row>
    <row r="34" spans="1:29" ht="13.5" customHeight="1" thickBot="1">
      <c r="A34" s="1611"/>
      <c r="B34" s="1612"/>
      <c r="C34" s="1613" t="s">
        <v>814</v>
      </c>
      <c r="D34" s="1614"/>
      <c r="E34" s="1615">
        <v>0</v>
      </c>
      <c r="F34" s="1616">
        <v>0</v>
      </c>
      <c r="G34" s="1616">
        <v>0</v>
      </c>
      <c r="H34" s="1616">
        <v>0</v>
      </c>
      <c r="I34" s="1616">
        <v>0</v>
      </c>
      <c r="J34" s="1616">
        <v>0</v>
      </c>
      <c r="K34" s="1616">
        <v>0</v>
      </c>
      <c r="L34" s="1616">
        <v>0</v>
      </c>
      <c r="M34" s="1616">
        <v>512</v>
      </c>
      <c r="N34" s="1616">
        <v>512</v>
      </c>
      <c r="O34" s="1616">
        <v>512</v>
      </c>
      <c r="P34" s="1616">
        <v>512</v>
      </c>
      <c r="Q34" s="1616">
        <v>512</v>
      </c>
      <c r="R34" s="1616">
        <v>512</v>
      </c>
      <c r="S34" s="1616">
        <v>512</v>
      </c>
      <c r="T34" s="1616">
        <v>512</v>
      </c>
      <c r="U34" s="1616">
        <v>512</v>
      </c>
      <c r="V34" s="1616">
        <v>512</v>
      </c>
      <c r="W34" s="1616">
        <v>0</v>
      </c>
      <c r="X34" s="1616">
        <v>0</v>
      </c>
      <c r="Y34" s="1616">
        <v>0</v>
      </c>
      <c r="Z34" s="1616">
        <v>0</v>
      </c>
      <c r="AA34" s="1616">
        <v>0</v>
      </c>
      <c r="AB34" s="1616">
        <v>0</v>
      </c>
      <c r="AC34" s="1617"/>
    </row>
    <row r="35" spans="1:29" ht="13.5" customHeight="1" thickTop="1">
      <c r="A35" s="1622" t="s">
        <v>815</v>
      </c>
      <c r="B35" s="1568"/>
      <c r="C35" s="1569"/>
      <c r="D35" s="1623">
        <v>134.5</v>
      </c>
      <c r="E35" s="1619">
        <v>0</v>
      </c>
      <c r="F35" s="1620">
        <v>0</v>
      </c>
      <c r="G35" s="1620">
        <v>0</v>
      </c>
      <c r="H35" s="1620">
        <v>0</v>
      </c>
      <c r="I35" s="1620">
        <v>0</v>
      </c>
      <c r="J35" s="1620">
        <v>0</v>
      </c>
      <c r="K35" s="1620">
        <v>0</v>
      </c>
      <c r="L35" s="1620">
        <v>0</v>
      </c>
      <c r="M35" s="1620">
        <v>2284</v>
      </c>
      <c r="N35" s="1620">
        <v>2337</v>
      </c>
      <c r="O35" s="1620">
        <v>2407</v>
      </c>
      <c r="P35" s="1620">
        <v>2460</v>
      </c>
      <c r="Q35" s="1620">
        <v>2496</v>
      </c>
      <c r="R35" s="1620">
        <v>2443</v>
      </c>
      <c r="S35" s="1620">
        <v>2425</v>
      </c>
      <c r="T35" s="1620">
        <v>2407</v>
      </c>
      <c r="U35" s="1620">
        <v>2407</v>
      </c>
      <c r="V35" s="1620">
        <v>2354</v>
      </c>
      <c r="W35" s="1620">
        <v>0</v>
      </c>
      <c r="X35" s="1620">
        <v>0</v>
      </c>
      <c r="Y35" s="1620">
        <v>0</v>
      </c>
      <c r="Z35" s="1620">
        <v>0</v>
      </c>
      <c r="AA35" s="1620">
        <v>0</v>
      </c>
      <c r="AB35" s="1620">
        <v>0</v>
      </c>
      <c r="AC35" s="1621"/>
    </row>
    <row r="36" spans="1:29" ht="13.5" customHeight="1">
      <c r="A36" s="1409"/>
      <c r="B36" s="1410"/>
      <c r="C36" s="1630"/>
      <c r="D36" s="1412"/>
      <c r="E36" s="1416"/>
      <c r="F36" s="1417"/>
      <c r="G36" s="1417"/>
      <c r="H36" s="1417"/>
      <c r="I36" s="1417"/>
      <c r="J36" s="1417"/>
      <c r="K36" s="1417"/>
      <c r="L36" s="1417"/>
      <c r="M36" s="1417"/>
      <c r="N36" s="1417"/>
      <c r="O36" s="1417"/>
      <c r="P36" s="1417"/>
      <c r="Q36" s="1417"/>
      <c r="R36" s="1417"/>
      <c r="S36" s="1417"/>
      <c r="T36" s="1417"/>
      <c r="U36" s="1417"/>
      <c r="V36" s="1417"/>
      <c r="W36" s="1417"/>
      <c r="X36" s="1417"/>
      <c r="Y36" s="1417"/>
      <c r="Z36" s="1417"/>
      <c r="AA36" s="1417"/>
      <c r="AB36" s="1595"/>
      <c r="AC36" s="1596"/>
    </row>
    <row r="37" spans="1:29" ht="13.5" customHeight="1">
      <c r="A37" s="1606" t="s">
        <v>816</v>
      </c>
      <c r="B37" s="1607"/>
      <c r="C37" s="1608"/>
      <c r="D37" s="1601"/>
      <c r="E37" s="1602"/>
      <c r="F37" s="1603"/>
      <c r="G37" s="1603"/>
      <c r="H37" s="1603"/>
      <c r="I37" s="1603"/>
      <c r="J37" s="1603"/>
      <c r="K37" s="1603"/>
      <c r="L37" s="1603"/>
      <c r="M37" s="1603"/>
      <c r="N37" s="1603"/>
      <c r="O37" s="1603"/>
      <c r="P37" s="1603"/>
      <c r="Q37" s="1603"/>
      <c r="R37" s="1603"/>
      <c r="S37" s="1603"/>
      <c r="T37" s="1603"/>
      <c r="U37" s="1603"/>
      <c r="V37" s="1603"/>
      <c r="W37" s="1603"/>
      <c r="X37" s="1603"/>
      <c r="Y37" s="1603"/>
      <c r="Z37" s="1603"/>
      <c r="AA37" s="1603"/>
      <c r="AB37" s="1604"/>
      <c r="AC37" s="1605"/>
    </row>
    <row r="38" spans="1:29" ht="13.5" customHeight="1">
      <c r="A38" s="1306">
        <v>2</v>
      </c>
      <c r="B38" s="1305">
        <v>201</v>
      </c>
      <c r="C38" s="1592" t="s">
        <v>347</v>
      </c>
      <c r="D38" s="1303">
        <v>54.8</v>
      </c>
      <c r="E38" s="1293">
        <v>0</v>
      </c>
      <c r="F38" s="1292">
        <v>0</v>
      </c>
      <c r="G38" s="1292">
        <v>0</v>
      </c>
      <c r="H38" s="1292">
        <v>0</v>
      </c>
      <c r="I38" s="1292">
        <v>0</v>
      </c>
      <c r="J38" s="1292">
        <v>0</v>
      </c>
      <c r="K38" s="1292">
        <v>0</v>
      </c>
      <c r="L38" s="1292">
        <v>0</v>
      </c>
      <c r="M38" s="1292">
        <v>5205</v>
      </c>
      <c r="N38" s="1292">
        <v>4810</v>
      </c>
      <c r="O38" s="1292">
        <v>5168</v>
      </c>
      <c r="P38" s="1292">
        <v>5336</v>
      </c>
      <c r="Q38" s="1292">
        <v>6085</v>
      </c>
      <c r="R38" s="1292">
        <v>6155</v>
      </c>
      <c r="S38" s="1292">
        <v>5964</v>
      </c>
      <c r="T38" s="1292">
        <v>5550</v>
      </c>
      <c r="U38" s="1292">
        <v>5026</v>
      </c>
      <c r="V38" s="1292">
        <v>4401</v>
      </c>
      <c r="W38" s="1292">
        <v>0</v>
      </c>
      <c r="X38" s="1292">
        <v>0</v>
      </c>
      <c r="Y38" s="1292">
        <v>0</v>
      </c>
      <c r="Z38" s="1292">
        <v>0</v>
      </c>
      <c r="AA38" s="1292">
        <v>0</v>
      </c>
      <c r="AB38" s="1571">
        <v>0</v>
      </c>
      <c r="AC38" s="1570"/>
    </row>
    <row r="39" spans="1:29" ht="13.5" customHeight="1">
      <c r="A39" s="1306">
        <v>2</v>
      </c>
      <c r="B39" s="1305">
        <v>204</v>
      </c>
      <c r="C39" s="1572" t="s">
        <v>531</v>
      </c>
      <c r="D39" s="1303">
        <v>13.2</v>
      </c>
      <c r="E39" s="1293">
        <v>0</v>
      </c>
      <c r="F39" s="1292">
        <v>0</v>
      </c>
      <c r="G39" s="1292">
        <v>0</v>
      </c>
      <c r="H39" s="1292">
        <v>0</v>
      </c>
      <c r="I39" s="1292">
        <v>0</v>
      </c>
      <c r="J39" s="1292">
        <v>0</v>
      </c>
      <c r="K39" s="1292">
        <v>0</v>
      </c>
      <c r="L39" s="1292">
        <v>0</v>
      </c>
      <c r="M39" s="1292">
        <v>1168</v>
      </c>
      <c r="N39" s="1292">
        <v>1124</v>
      </c>
      <c r="O39" s="1292">
        <v>1158</v>
      </c>
      <c r="P39" s="1292">
        <v>1168</v>
      </c>
      <c r="Q39" s="1292">
        <v>1175</v>
      </c>
      <c r="R39" s="1292">
        <v>1165</v>
      </c>
      <c r="S39" s="1292">
        <v>1155</v>
      </c>
      <c r="T39" s="1292">
        <v>1144</v>
      </c>
      <c r="U39" s="1292">
        <v>1123</v>
      </c>
      <c r="V39" s="1292">
        <v>1090</v>
      </c>
      <c r="W39" s="1292">
        <v>0</v>
      </c>
      <c r="X39" s="1292">
        <v>0</v>
      </c>
      <c r="Y39" s="1292">
        <v>0</v>
      </c>
      <c r="Z39" s="1292">
        <v>0</v>
      </c>
      <c r="AA39" s="1292">
        <v>0</v>
      </c>
      <c r="AB39" s="1571">
        <v>0</v>
      </c>
      <c r="AC39" s="1570"/>
    </row>
    <row r="40" spans="1:29" ht="13.5" customHeight="1">
      <c r="A40" s="1306">
        <v>2</v>
      </c>
      <c r="B40" s="1305">
        <v>205</v>
      </c>
      <c r="C40" s="1572" t="s">
        <v>557</v>
      </c>
      <c r="D40" s="1303">
        <v>13.2</v>
      </c>
      <c r="E40" s="1293">
        <v>0</v>
      </c>
      <c r="F40" s="1292">
        <v>0</v>
      </c>
      <c r="G40" s="1292">
        <v>0</v>
      </c>
      <c r="H40" s="1292">
        <v>0</v>
      </c>
      <c r="I40" s="1292">
        <v>0</v>
      </c>
      <c r="J40" s="1292">
        <v>0</v>
      </c>
      <c r="K40" s="1292">
        <v>0</v>
      </c>
      <c r="L40" s="1292">
        <v>0</v>
      </c>
      <c r="M40" s="1292">
        <v>1342</v>
      </c>
      <c r="N40" s="1292">
        <v>1330</v>
      </c>
      <c r="O40" s="1292">
        <v>1369</v>
      </c>
      <c r="P40" s="1292">
        <v>1365</v>
      </c>
      <c r="Q40" s="1292">
        <v>1342</v>
      </c>
      <c r="R40" s="1292">
        <v>1308</v>
      </c>
      <c r="S40" s="1292">
        <v>1282</v>
      </c>
      <c r="T40" s="1292">
        <v>1258</v>
      </c>
      <c r="U40" s="1292">
        <v>1226</v>
      </c>
      <c r="V40" s="1292">
        <v>1183</v>
      </c>
      <c r="W40" s="1292">
        <v>0</v>
      </c>
      <c r="X40" s="1292">
        <v>0</v>
      </c>
      <c r="Y40" s="1292">
        <v>0</v>
      </c>
      <c r="Z40" s="1292">
        <v>0</v>
      </c>
      <c r="AA40" s="1292">
        <v>0</v>
      </c>
      <c r="AB40" s="1571">
        <v>0</v>
      </c>
      <c r="AC40" s="1570"/>
    </row>
    <row r="41" spans="1:29" ht="13.5" customHeight="1">
      <c r="A41" s="1409">
        <v>2</v>
      </c>
      <c r="B41" s="1410">
        <v>208</v>
      </c>
      <c r="C41" s="1594" t="s">
        <v>588</v>
      </c>
      <c r="D41" s="1412">
        <v>53.3</v>
      </c>
      <c r="E41" s="1416">
        <v>0</v>
      </c>
      <c r="F41" s="1417">
        <v>0</v>
      </c>
      <c r="G41" s="1417">
        <v>0</v>
      </c>
      <c r="H41" s="1417">
        <v>0</v>
      </c>
      <c r="I41" s="1417">
        <v>0</v>
      </c>
      <c r="J41" s="1417">
        <v>0</v>
      </c>
      <c r="K41" s="1417">
        <v>0</v>
      </c>
      <c r="L41" s="1417">
        <v>0</v>
      </c>
      <c r="M41" s="1417">
        <v>3756</v>
      </c>
      <c r="N41" s="1417">
        <v>3399</v>
      </c>
      <c r="O41" s="1417">
        <v>3474</v>
      </c>
      <c r="P41" s="1417">
        <v>3479</v>
      </c>
      <c r="Q41" s="1417">
        <v>3473</v>
      </c>
      <c r="R41" s="1417">
        <v>3424</v>
      </c>
      <c r="S41" s="1417">
        <v>3343</v>
      </c>
      <c r="T41" s="1417">
        <v>3252</v>
      </c>
      <c r="U41" s="1417">
        <v>3121</v>
      </c>
      <c r="V41" s="1417">
        <v>2945</v>
      </c>
      <c r="W41" s="1417">
        <v>0</v>
      </c>
      <c r="X41" s="1417">
        <v>0</v>
      </c>
      <c r="Y41" s="1417">
        <v>0</v>
      </c>
      <c r="Z41" s="1417">
        <v>0</v>
      </c>
      <c r="AA41" s="1417">
        <v>0</v>
      </c>
      <c r="AB41" s="1595">
        <v>0</v>
      </c>
      <c r="AC41" s="1596"/>
    </row>
    <row r="42" spans="1:29" ht="13.5" customHeight="1">
      <c r="A42" s="1611"/>
      <c r="B42" s="1612"/>
      <c r="C42" s="1613" t="s">
        <v>813</v>
      </c>
      <c r="D42" s="1614"/>
      <c r="E42" s="1615">
        <v>0</v>
      </c>
      <c r="F42" s="1616">
        <v>0</v>
      </c>
      <c r="G42" s="1616">
        <v>0</v>
      </c>
      <c r="H42" s="1616">
        <v>0</v>
      </c>
      <c r="I42" s="1616">
        <v>0</v>
      </c>
      <c r="J42" s="1616">
        <v>0</v>
      </c>
      <c r="K42" s="1616">
        <v>0</v>
      </c>
      <c r="L42" s="1616">
        <v>0</v>
      </c>
      <c r="M42" s="1616">
        <v>549</v>
      </c>
      <c r="N42" s="1616">
        <v>549</v>
      </c>
      <c r="O42" s="1616">
        <v>549</v>
      </c>
      <c r="P42" s="1616">
        <v>549</v>
      </c>
      <c r="Q42" s="1616">
        <v>549</v>
      </c>
      <c r="R42" s="1616">
        <v>549</v>
      </c>
      <c r="S42" s="1616">
        <v>549</v>
      </c>
      <c r="T42" s="1616">
        <v>549</v>
      </c>
      <c r="U42" s="1616">
        <v>549</v>
      </c>
      <c r="V42" s="1616">
        <v>549</v>
      </c>
      <c r="W42" s="1616">
        <v>0</v>
      </c>
      <c r="X42" s="1616">
        <v>0</v>
      </c>
      <c r="Y42" s="1616">
        <v>0</v>
      </c>
      <c r="Z42" s="1616">
        <v>0</v>
      </c>
      <c r="AA42" s="1616">
        <v>0</v>
      </c>
      <c r="AB42" s="1616">
        <v>0</v>
      </c>
      <c r="AC42" s="1617"/>
    </row>
    <row r="43" spans="1:29" ht="13.5" customHeight="1" thickBot="1">
      <c r="A43" s="1611"/>
      <c r="B43" s="1612"/>
      <c r="C43" s="1613" t="s">
        <v>817</v>
      </c>
      <c r="D43" s="1614"/>
      <c r="E43" s="1615">
        <v>0</v>
      </c>
      <c r="F43" s="1616">
        <v>0</v>
      </c>
      <c r="G43" s="1616">
        <v>0</v>
      </c>
      <c r="H43" s="1616">
        <v>0</v>
      </c>
      <c r="I43" s="1616">
        <v>0</v>
      </c>
      <c r="J43" s="1616">
        <v>0</v>
      </c>
      <c r="K43" s="1616">
        <v>0</v>
      </c>
      <c r="L43" s="1616">
        <v>0</v>
      </c>
      <c r="M43" s="1616">
        <v>124</v>
      </c>
      <c r="N43" s="1616">
        <v>124</v>
      </c>
      <c r="O43" s="1616">
        <v>124</v>
      </c>
      <c r="P43" s="1616">
        <v>124</v>
      </c>
      <c r="Q43" s="1616">
        <v>124</v>
      </c>
      <c r="R43" s="1616">
        <v>124</v>
      </c>
      <c r="S43" s="1616">
        <v>124</v>
      </c>
      <c r="T43" s="1616">
        <v>124</v>
      </c>
      <c r="U43" s="1616">
        <v>124</v>
      </c>
      <c r="V43" s="1616">
        <v>124</v>
      </c>
      <c r="W43" s="1616">
        <v>0</v>
      </c>
      <c r="X43" s="1616">
        <v>0</v>
      </c>
      <c r="Y43" s="1616">
        <v>0</v>
      </c>
      <c r="Z43" s="1616">
        <v>0</v>
      </c>
      <c r="AA43" s="1616">
        <v>0</v>
      </c>
      <c r="AB43" s="1616">
        <v>0</v>
      </c>
      <c r="AC43" s="1617"/>
    </row>
    <row r="44" spans="1:29" ht="13.5" customHeight="1" thickTop="1">
      <c r="A44" s="1622" t="s">
        <v>815</v>
      </c>
      <c r="B44" s="1568"/>
      <c r="C44" s="1569"/>
      <c r="D44" s="1623">
        <v>134.5</v>
      </c>
      <c r="E44" s="1619">
        <v>0</v>
      </c>
      <c r="F44" s="1620">
        <v>0</v>
      </c>
      <c r="G44" s="1620">
        <v>0</v>
      </c>
      <c r="H44" s="1620">
        <v>0</v>
      </c>
      <c r="I44" s="1620">
        <v>0</v>
      </c>
      <c r="J44" s="1620">
        <v>0</v>
      </c>
      <c r="K44" s="1620">
        <v>0</v>
      </c>
      <c r="L44" s="1620">
        <v>0</v>
      </c>
      <c r="M44" s="1620">
        <v>12144</v>
      </c>
      <c r="N44" s="1620">
        <v>11336</v>
      </c>
      <c r="O44" s="1620">
        <v>11842</v>
      </c>
      <c r="P44" s="1620">
        <v>12021</v>
      </c>
      <c r="Q44" s="1620">
        <v>12748</v>
      </c>
      <c r="R44" s="1620">
        <v>12725</v>
      </c>
      <c r="S44" s="1620">
        <v>12417</v>
      </c>
      <c r="T44" s="1620">
        <v>11877</v>
      </c>
      <c r="U44" s="1620">
        <v>11169</v>
      </c>
      <c r="V44" s="1620">
        <v>10292</v>
      </c>
      <c r="W44" s="1620">
        <v>0</v>
      </c>
      <c r="X44" s="1620">
        <v>0</v>
      </c>
      <c r="Y44" s="1620">
        <v>0</v>
      </c>
      <c r="Z44" s="1620">
        <v>0</v>
      </c>
      <c r="AA44" s="1620">
        <v>0</v>
      </c>
      <c r="AB44" s="1620">
        <v>0</v>
      </c>
      <c r="AC44" s="1621"/>
    </row>
    <row r="45" spans="1:29" ht="13.5" customHeight="1" thickBot="1">
      <c r="A45" s="1409"/>
      <c r="B45" s="1410"/>
      <c r="C45" s="1630"/>
      <c r="D45" s="1412"/>
      <c r="E45" s="1416"/>
      <c r="F45" s="1417"/>
      <c r="G45" s="1417"/>
      <c r="H45" s="1417"/>
      <c r="I45" s="1417"/>
      <c r="J45" s="1417"/>
      <c r="K45" s="1417"/>
      <c r="L45" s="1417"/>
      <c r="M45" s="1417"/>
      <c r="N45" s="1417"/>
      <c r="O45" s="1417"/>
      <c r="P45" s="1417"/>
      <c r="Q45" s="1417"/>
      <c r="R45" s="1417"/>
      <c r="S45" s="1417"/>
      <c r="T45" s="1417"/>
      <c r="U45" s="1417"/>
      <c r="V45" s="1417"/>
      <c r="W45" s="1417"/>
      <c r="X45" s="1417"/>
      <c r="Y45" s="1417"/>
      <c r="Z45" s="1417"/>
      <c r="AA45" s="1417"/>
      <c r="AB45" s="1595"/>
      <c r="AC45" s="1596"/>
    </row>
    <row r="46" spans="1:29" ht="13.5" customHeight="1" thickTop="1">
      <c r="A46" s="1641" t="s">
        <v>819</v>
      </c>
      <c r="B46" s="1642"/>
      <c r="C46" s="1642"/>
      <c r="D46" s="1637">
        <v>134.5</v>
      </c>
      <c r="E46" s="1638">
        <v>0</v>
      </c>
      <c r="F46" s="1639">
        <v>0</v>
      </c>
      <c r="G46" s="1639">
        <v>0</v>
      </c>
      <c r="H46" s="1639">
        <v>0</v>
      </c>
      <c r="I46" s="1639">
        <v>0</v>
      </c>
      <c r="J46" s="1639">
        <v>0</v>
      </c>
      <c r="K46" s="1639">
        <v>0</v>
      </c>
      <c r="L46" s="1639">
        <v>0</v>
      </c>
      <c r="M46" s="1639">
        <v>14428</v>
      </c>
      <c r="N46" s="1639">
        <v>13673</v>
      </c>
      <c r="O46" s="1639">
        <v>14249</v>
      </c>
      <c r="P46" s="1639">
        <v>14481</v>
      </c>
      <c r="Q46" s="1639">
        <v>15244</v>
      </c>
      <c r="R46" s="1639">
        <v>15168</v>
      </c>
      <c r="S46" s="1639">
        <v>14842</v>
      </c>
      <c r="T46" s="1639">
        <v>14284</v>
      </c>
      <c r="U46" s="1639">
        <v>13576</v>
      </c>
      <c r="V46" s="1639">
        <v>12646</v>
      </c>
      <c r="W46" s="1639">
        <v>0</v>
      </c>
      <c r="X46" s="1639">
        <v>0</v>
      </c>
      <c r="Y46" s="1639">
        <v>0</v>
      </c>
      <c r="Z46" s="1639">
        <v>0</v>
      </c>
      <c r="AA46" s="1639">
        <v>0</v>
      </c>
      <c r="AB46" s="1639">
        <v>0</v>
      </c>
      <c r="AC46" s="1640"/>
    </row>
    <row r="47" spans="1:29" ht="13.5" customHeight="1">
      <c r="A47" s="1409"/>
      <c r="B47" s="1410"/>
      <c r="C47" s="1630"/>
      <c r="D47" s="1412"/>
      <c r="E47" s="1416"/>
      <c r="F47" s="1417"/>
      <c r="G47" s="1417"/>
      <c r="H47" s="1417"/>
      <c r="I47" s="1417"/>
      <c r="J47" s="1417"/>
      <c r="K47" s="1417"/>
      <c r="L47" s="1417"/>
      <c r="M47" s="1417"/>
      <c r="N47" s="1417"/>
      <c r="O47" s="1417"/>
      <c r="P47" s="1417"/>
      <c r="Q47" s="1417"/>
      <c r="R47" s="1417"/>
      <c r="S47" s="1417"/>
      <c r="T47" s="1417"/>
      <c r="U47" s="1417"/>
      <c r="V47" s="1417"/>
      <c r="W47" s="1417"/>
      <c r="X47" s="1417"/>
      <c r="Y47" s="1417"/>
      <c r="Z47" s="1417"/>
      <c r="AA47" s="1417"/>
      <c r="AB47" s="1595"/>
      <c r="AC47" s="1596"/>
    </row>
    <row r="48" spans="1:29" ht="13.5" customHeight="1">
      <c r="A48" s="1610" t="s">
        <v>386</v>
      </c>
      <c r="B48" s="1598"/>
      <c r="C48" s="1598"/>
      <c r="D48" s="1598"/>
      <c r="E48" s="1598"/>
      <c r="F48" s="1598"/>
      <c r="G48" s="1598"/>
      <c r="H48" s="1598"/>
      <c r="I48" s="1598"/>
      <c r="J48" s="1598"/>
      <c r="K48" s="1598"/>
      <c r="L48" s="1598"/>
      <c r="M48" s="1598"/>
      <c r="N48" s="1598"/>
      <c r="O48" s="1598"/>
      <c r="P48" s="1598"/>
      <c r="Q48" s="1598"/>
      <c r="R48" s="1598"/>
      <c r="S48" s="1598"/>
      <c r="T48" s="1598"/>
      <c r="U48" s="1598"/>
      <c r="V48" s="1598"/>
      <c r="W48" s="1598"/>
      <c r="X48" s="1598"/>
      <c r="Y48" s="1598"/>
      <c r="Z48" s="1598"/>
      <c r="AA48" s="1598"/>
      <c r="AB48" s="1598"/>
      <c r="AC48" s="1599"/>
    </row>
    <row r="49" spans="1:29" ht="13.5" customHeight="1">
      <c r="A49" s="1606" t="s">
        <v>812</v>
      </c>
      <c r="B49" s="1607"/>
      <c r="C49" s="1608"/>
      <c r="D49" s="1601"/>
      <c r="E49" s="1602"/>
      <c r="F49" s="1603"/>
      <c r="G49" s="1603"/>
      <c r="H49" s="1603"/>
      <c r="I49" s="1603"/>
      <c r="J49" s="1603"/>
      <c r="K49" s="1603"/>
      <c r="L49" s="1603"/>
      <c r="M49" s="1603"/>
      <c r="N49" s="1603"/>
      <c r="O49" s="1603"/>
      <c r="P49" s="1603"/>
      <c r="Q49" s="1603"/>
      <c r="R49" s="1603"/>
      <c r="S49" s="1603"/>
      <c r="T49" s="1603"/>
      <c r="U49" s="1603"/>
      <c r="V49" s="1603"/>
      <c r="W49" s="1603"/>
      <c r="X49" s="1603"/>
      <c r="Y49" s="1603"/>
      <c r="Z49" s="1603"/>
      <c r="AA49" s="1603"/>
      <c r="AB49" s="1604"/>
      <c r="AC49" s="1605"/>
    </row>
    <row r="50" spans="1:29" ht="13.5" customHeight="1">
      <c r="A50" s="1306">
        <v>2</v>
      </c>
      <c r="B50" s="1305">
        <v>201</v>
      </c>
      <c r="C50" s="1592" t="s">
        <v>347</v>
      </c>
      <c r="D50" s="1303">
        <v>54.8</v>
      </c>
      <c r="E50" s="1293">
        <v>0</v>
      </c>
      <c r="F50" s="1292">
        <v>0</v>
      </c>
      <c r="G50" s="1292">
        <v>0</v>
      </c>
      <c r="H50" s="1292">
        <v>0</v>
      </c>
      <c r="I50" s="1292">
        <v>0</v>
      </c>
      <c r="J50" s="1292">
        <v>0</v>
      </c>
      <c r="K50" s="1292">
        <v>0</v>
      </c>
      <c r="L50" s="1292">
        <v>0</v>
      </c>
      <c r="M50" s="1292">
        <v>318</v>
      </c>
      <c r="N50" s="1292">
        <v>348</v>
      </c>
      <c r="O50" s="1292">
        <v>348</v>
      </c>
      <c r="P50" s="1292">
        <v>360</v>
      </c>
      <c r="Q50" s="1292">
        <v>354</v>
      </c>
      <c r="R50" s="1292">
        <v>336</v>
      </c>
      <c r="S50" s="1292">
        <v>330</v>
      </c>
      <c r="T50" s="1292">
        <v>336</v>
      </c>
      <c r="U50" s="1292">
        <v>324</v>
      </c>
      <c r="V50" s="1292">
        <v>336</v>
      </c>
      <c r="W50" s="1292">
        <v>0</v>
      </c>
      <c r="X50" s="1292">
        <v>0</v>
      </c>
      <c r="Y50" s="1292">
        <v>0</v>
      </c>
      <c r="Z50" s="1292">
        <v>0</v>
      </c>
      <c r="AA50" s="1292">
        <v>0</v>
      </c>
      <c r="AB50" s="1571">
        <v>0</v>
      </c>
      <c r="AC50" s="1570"/>
    </row>
    <row r="51" spans="1:29" ht="13.5" customHeight="1">
      <c r="A51" s="1306">
        <v>2</v>
      </c>
      <c r="B51" s="1305">
        <v>204</v>
      </c>
      <c r="C51" s="1572" t="s">
        <v>531</v>
      </c>
      <c r="D51" s="1303">
        <v>13.2</v>
      </c>
      <c r="E51" s="1293">
        <v>0</v>
      </c>
      <c r="F51" s="1292">
        <v>0</v>
      </c>
      <c r="G51" s="1292">
        <v>0</v>
      </c>
      <c r="H51" s="1292">
        <v>0</v>
      </c>
      <c r="I51" s="1292">
        <v>0</v>
      </c>
      <c r="J51" s="1292">
        <v>0</v>
      </c>
      <c r="K51" s="1292">
        <v>0</v>
      </c>
      <c r="L51" s="1292">
        <v>0</v>
      </c>
      <c r="M51" s="1292">
        <v>220</v>
      </c>
      <c r="N51" s="1292">
        <v>240</v>
      </c>
      <c r="O51" s="1292">
        <v>240</v>
      </c>
      <c r="P51" s="1292">
        <v>248</v>
      </c>
      <c r="Q51" s="1292">
        <v>244</v>
      </c>
      <c r="R51" s="1292">
        <v>236</v>
      </c>
      <c r="S51" s="1292">
        <v>232</v>
      </c>
      <c r="T51" s="1292">
        <v>232</v>
      </c>
      <c r="U51" s="1292">
        <v>224</v>
      </c>
      <c r="V51" s="1292">
        <v>232</v>
      </c>
      <c r="W51" s="1292">
        <v>0</v>
      </c>
      <c r="X51" s="1292">
        <v>0</v>
      </c>
      <c r="Y51" s="1292">
        <v>0</v>
      </c>
      <c r="Z51" s="1292">
        <v>0</v>
      </c>
      <c r="AA51" s="1292">
        <v>0</v>
      </c>
      <c r="AB51" s="1571">
        <v>0</v>
      </c>
      <c r="AC51" s="1570"/>
    </row>
    <row r="52" spans="1:29" ht="13.5" customHeight="1">
      <c r="A52" s="1306">
        <v>2</v>
      </c>
      <c r="B52" s="1305">
        <v>205</v>
      </c>
      <c r="C52" s="1572" t="s">
        <v>557</v>
      </c>
      <c r="D52" s="1303">
        <v>13.2</v>
      </c>
      <c r="E52" s="1293">
        <v>0</v>
      </c>
      <c r="F52" s="1292">
        <v>0</v>
      </c>
      <c r="G52" s="1292">
        <v>0</v>
      </c>
      <c r="H52" s="1292">
        <v>0</v>
      </c>
      <c r="I52" s="1292">
        <v>0</v>
      </c>
      <c r="J52" s="1292">
        <v>0</v>
      </c>
      <c r="K52" s="1292">
        <v>0</v>
      </c>
      <c r="L52" s="1292">
        <v>0</v>
      </c>
      <c r="M52" s="1292">
        <v>220</v>
      </c>
      <c r="N52" s="1292">
        <v>240</v>
      </c>
      <c r="O52" s="1292">
        <v>240</v>
      </c>
      <c r="P52" s="1292">
        <v>248</v>
      </c>
      <c r="Q52" s="1292">
        <v>244</v>
      </c>
      <c r="R52" s="1292">
        <v>236</v>
      </c>
      <c r="S52" s="1292">
        <v>232</v>
      </c>
      <c r="T52" s="1292">
        <v>232</v>
      </c>
      <c r="U52" s="1292">
        <v>224</v>
      </c>
      <c r="V52" s="1292">
        <v>232</v>
      </c>
      <c r="W52" s="1292">
        <v>0</v>
      </c>
      <c r="X52" s="1292">
        <v>0</v>
      </c>
      <c r="Y52" s="1292">
        <v>0</v>
      </c>
      <c r="Z52" s="1292">
        <v>0</v>
      </c>
      <c r="AA52" s="1292">
        <v>0</v>
      </c>
      <c r="AB52" s="1571">
        <v>0</v>
      </c>
      <c r="AC52" s="1570"/>
    </row>
    <row r="53" spans="1:29" ht="13.5" customHeight="1">
      <c r="A53" s="1409">
        <v>2</v>
      </c>
      <c r="B53" s="1410">
        <v>208</v>
      </c>
      <c r="C53" s="1594" t="s">
        <v>588</v>
      </c>
      <c r="D53" s="1412">
        <v>53.3</v>
      </c>
      <c r="E53" s="1416">
        <v>0</v>
      </c>
      <c r="F53" s="1417">
        <v>0</v>
      </c>
      <c r="G53" s="1417">
        <v>0</v>
      </c>
      <c r="H53" s="1417">
        <v>0</v>
      </c>
      <c r="I53" s="1417">
        <v>0</v>
      </c>
      <c r="J53" s="1417">
        <v>0</v>
      </c>
      <c r="K53" s="1417">
        <v>0</v>
      </c>
      <c r="L53" s="1417">
        <v>0</v>
      </c>
      <c r="M53" s="1417">
        <v>202</v>
      </c>
      <c r="N53" s="1417">
        <v>220</v>
      </c>
      <c r="O53" s="1417">
        <v>220</v>
      </c>
      <c r="P53" s="1417">
        <v>227</v>
      </c>
      <c r="Q53" s="1417">
        <v>224</v>
      </c>
      <c r="R53" s="1417">
        <v>216</v>
      </c>
      <c r="S53" s="1417">
        <v>213</v>
      </c>
      <c r="T53" s="1417">
        <v>213</v>
      </c>
      <c r="U53" s="1417">
        <v>205</v>
      </c>
      <c r="V53" s="1417">
        <v>213</v>
      </c>
      <c r="W53" s="1417">
        <v>0</v>
      </c>
      <c r="X53" s="1417">
        <v>0</v>
      </c>
      <c r="Y53" s="1417">
        <v>0</v>
      </c>
      <c r="Z53" s="1417">
        <v>0</v>
      </c>
      <c r="AA53" s="1417">
        <v>0</v>
      </c>
      <c r="AB53" s="1595">
        <v>0</v>
      </c>
      <c r="AC53" s="1596"/>
    </row>
    <row r="54" spans="1:29" ht="13.5" customHeight="1">
      <c r="A54" s="1611"/>
      <c r="B54" s="1612"/>
      <c r="C54" s="1613" t="s">
        <v>813</v>
      </c>
      <c r="D54" s="1614"/>
      <c r="E54" s="1615">
        <v>0</v>
      </c>
      <c r="F54" s="1616">
        <v>0</v>
      </c>
      <c r="G54" s="1616">
        <v>0</v>
      </c>
      <c r="H54" s="1616">
        <v>0</v>
      </c>
      <c r="I54" s="1616">
        <v>0</v>
      </c>
      <c r="J54" s="1616">
        <v>0</v>
      </c>
      <c r="K54" s="1616">
        <v>0</v>
      </c>
      <c r="L54" s="1616">
        <v>0</v>
      </c>
      <c r="M54" s="1616">
        <v>123</v>
      </c>
      <c r="N54" s="1616">
        <v>123</v>
      </c>
      <c r="O54" s="1616">
        <v>123</v>
      </c>
      <c r="P54" s="1616">
        <v>123</v>
      </c>
      <c r="Q54" s="1616">
        <v>123</v>
      </c>
      <c r="R54" s="1616">
        <v>123</v>
      </c>
      <c r="S54" s="1616">
        <v>123</v>
      </c>
      <c r="T54" s="1616">
        <v>123</v>
      </c>
      <c r="U54" s="1616">
        <v>123</v>
      </c>
      <c r="V54" s="1616">
        <v>123</v>
      </c>
      <c r="W54" s="1616">
        <v>0</v>
      </c>
      <c r="X54" s="1616">
        <v>0</v>
      </c>
      <c r="Y54" s="1616">
        <v>0</v>
      </c>
      <c r="Z54" s="1616">
        <v>0</v>
      </c>
      <c r="AA54" s="1616">
        <v>0</v>
      </c>
      <c r="AB54" s="1616">
        <v>0</v>
      </c>
      <c r="AC54" s="1617"/>
    </row>
    <row r="55" spans="1:29" ht="13.5" customHeight="1" thickBot="1">
      <c r="A55" s="1611"/>
      <c r="B55" s="1612"/>
      <c r="C55" s="1613" t="s">
        <v>814</v>
      </c>
      <c r="D55" s="1614"/>
      <c r="E55" s="1615">
        <v>0</v>
      </c>
      <c r="F55" s="1616">
        <v>0</v>
      </c>
      <c r="G55" s="1616">
        <v>0</v>
      </c>
      <c r="H55" s="1616">
        <v>0</v>
      </c>
      <c r="I55" s="1616">
        <v>0</v>
      </c>
      <c r="J55" s="1616">
        <v>0</v>
      </c>
      <c r="K55" s="1616">
        <v>0</v>
      </c>
      <c r="L55" s="1616">
        <v>0</v>
      </c>
      <c r="M55" s="1616">
        <v>512</v>
      </c>
      <c r="N55" s="1616">
        <v>512</v>
      </c>
      <c r="O55" s="1616">
        <v>512</v>
      </c>
      <c r="P55" s="1616">
        <v>512</v>
      </c>
      <c r="Q55" s="1616">
        <v>512</v>
      </c>
      <c r="R55" s="1616">
        <v>512</v>
      </c>
      <c r="S55" s="1616">
        <v>512</v>
      </c>
      <c r="T55" s="1616">
        <v>512</v>
      </c>
      <c r="U55" s="1616">
        <v>512</v>
      </c>
      <c r="V55" s="1616">
        <v>512</v>
      </c>
      <c r="W55" s="1616">
        <v>0</v>
      </c>
      <c r="X55" s="1616">
        <v>0</v>
      </c>
      <c r="Y55" s="1616">
        <v>0</v>
      </c>
      <c r="Z55" s="1616">
        <v>0</v>
      </c>
      <c r="AA55" s="1616">
        <v>0</v>
      </c>
      <c r="AB55" s="1616">
        <v>0</v>
      </c>
      <c r="AC55" s="1617"/>
    </row>
    <row r="56" spans="1:29" ht="13.5" customHeight="1" thickTop="1">
      <c r="A56" s="1627" t="s">
        <v>815</v>
      </c>
      <c r="B56" s="1436"/>
      <c r="C56" s="1628"/>
      <c r="D56" s="1629">
        <v>134.5</v>
      </c>
      <c r="E56" s="1624">
        <v>0</v>
      </c>
      <c r="F56" s="1625">
        <v>0</v>
      </c>
      <c r="G56" s="1625">
        <v>0</v>
      </c>
      <c r="H56" s="1625">
        <v>0</v>
      </c>
      <c r="I56" s="1625">
        <v>0</v>
      </c>
      <c r="J56" s="1625">
        <v>0</v>
      </c>
      <c r="K56" s="1625">
        <v>0</v>
      </c>
      <c r="L56" s="1625">
        <v>0</v>
      </c>
      <c r="M56" s="1625">
        <v>1595</v>
      </c>
      <c r="N56" s="1625">
        <v>1683</v>
      </c>
      <c r="O56" s="1625">
        <v>1683</v>
      </c>
      <c r="P56" s="1625">
        <v>1718</v>
      </c>
      <c r="Q56" s="1625">
        <v>1701</v>
      </c>
      <c r="R56" s="1625">
        <v>1659</v>
      </c>
      <c r="S56" s="1625">
        <v>1642</v>
      </c>
      <c r="T56" s="1625">
        <v>1648</v>
      </c>
      <c r="U56" s="1625">
        <v>1612</v>
      </c>
      <c r="V56" s="1625">
        <v>1648</v>
      </c>
      <c r="W56" s="1625">
        <v>0</v>
      </c>
      <c r="X56" s="1625">
        <v>0</v>
      </c>
      <c r="Y56" s="1625">
        <v>0</v>
      </c>
      <c r="Z56" s="1625">
        <v>0</v>
      </c>
      <c r="AA56" s="1625">
        <v>0</v>
      </c>
      <c r="AB56" s="1625">
        <v>0</v>
      </c>
      <c r="AC56" s="1626"/>
    </row>
    <row r="57" spans="1:29" ht="13.5" customHeight="1">
      <c r="A57" s="1409"/>
      <c r="B57" s="1410"/>
      <c r="C57" s="1630"/>
      <c r="D57" s="1412"/>
      <c r="E57" s="1416"/>
      <c r="F57" s="1417"/>
      <c r="G57" s="1417"/>
      <c r="H57" s="1417"/>
      <c r="I57" s="1417"/>
      <c r="J57" s="1417"/>
      <c r="K57" s="1417"/>
      <c r="L57" s="1417"/>
      <c r="M57" s="1417"/>
      <c r="N57" s="1417"/>
      <c r="O57" s="1417"/>
      <c r="P57" s="1417"/>
      <c r="Q57" s="1417"/>
      <c r="R57" s="1417"/>
      <c r="S57" s="1417"/>
      <c r="T57" s="1417"/>
      <c r="U57" s="1417"/>
      <c r="V57" s="1417"/>
      <c r="W57" s="1417"/>
      <c r="X57" s="1417"/>
      <c r="Y57" s="1417"/>
      <c r="Z57" s="1417"/>
      <c r="AA57" s="1417"/>
      <c r="AB57" s="1595"/>
      <c r="AC57" s="1596"/>
    </row>
    <row r="58" spans="1:29" ht="13.5" customHeight="1">
      <c r="A58" s="1606" t="s">
        <v>816</v>
      </c>
      <c r="B58" s="1607"/>
      <c r="C58" s="1608"/>
      <c r="D58" s="1601"/>
      <c r="E58" s="1602"/>
      <c r="F58" s="1603"/>
      <c r="G58" s="1603"/>
      <c r="H58" s="1603"/>
      <c r="I58" s="1603"/>
      <c r="J58" s="1603"/>
      <c r="K58" s="1603"/>
      <c r="L58" s="1603"/>
      <c r="M58" s="1603"/>
      <c r="N58" s="1603"/>
      <c r="O58" s="1603"/>
      <c r="P58" s="1603"/>
      <c r="Q58" s="1603"/>
      <c r="R58" s="1603"/>
      <c r="S58" s="1603"/>
      <c r="T58" s="1603"/>
      <c r="U58" s="1603"/>
      <c r="V58" s="1603"/>
      <c r="W58" s="1603"/>
      <c r="X58" s="1603"/>
      <c r="Y58" s="1603"/>
      <c r="Z58" s="1603"/>
      <c r="AA58" s="1603"/>
      <c r="AB58" s="1604"/>
      <c r="AC58" s="1605"/>
    </row>
    <row r="59" spans="1:29" ht="13.5" customHeight="1">
      <c r="A59" s="1306">
        <v>2</v>
      </c>
      <c r="B59" s="1305">
        <v>201</v>
      </c>
      <c r="C59" s="1592" t="s">
        <v>347</v>
      </c>
      <c r="D59" s="1303">
        <v>54.8</v>
      </c>
      <c r="E59" s="1293">
        <v>0</v>
      </c>
      <c r="F59" s="1292">
        <v>0</v>
      </c>
      <c r="G59" s="1292">
        <v>0</v>
      </c>
      <c r="H59" s="1292">
        <v>0</v>
      </c>
      <c r="I59" s="1292">
        <v>0</v>
      </c>
      <c r="J59" s="1292">
        <v>0</v>
      </c>
      <c r="K59" s="1292">
        <v>0</v>
      </c>
      <c r="L59" s="1292">
        <v>0</v>
      </c>
      <c r="M59" s="1292">
        <v>4742</v>
      </c>
      <c r="N59" s="1292">
        <v>4754</v>
      </c>
      <c r="O59" s="1292">
        <v>5656</v>
      </c>
      <c r="P59" s="1292">
        <v>5925</v>
      </c>
      <c r="Q59" s="1292">
        <v>6581</v>
      </c>
      <c r="R59" s="1292">
        <v>6548</v>
      </c>
      <c r="S59" s="1292">
        <v>6197</v>
      </c>
      <c r="T59" s="1292">
        <v>5565</v>
      </c>
      <c r="U59" s="1292">
        <v>4727</v>
      </c>
      <c r="V59" s="1292">
        <v>3927</v>
      </c>
      <c r="W59" s="1292">
        <v>0</v>
      </c>
      <c r="X59" s="1292">
        <v>0</v>
      </c>
      <c r="Y59" s="1292">
        <v>0</v>
      </c>
      <c r="Z59" s="1292">
        <v>0</v>
      </c>
      <c r="AA59" s="1292">
        <v>0</v>
      </c>
      <c r="AB59" s="1571">
        <v>0</v>
      </c>
      <c r="AC59" s="1570"/>
    </row>
    <row r="60" spans="1:29" ht="13.5" customHeight="1">
      <c r="A60" s="1306">
        <v>2</v>
      </c>
      <c r="B60" s="1305">
        <v>204</v>
      </c>
      <c r="C60" s="1572" t="s">
        <v>531</v>
      </c>
      <c r="D60" s="1303">
        <v>13.2</v>
      </c>
      <c r="E60" s="1293">
        <v>0</v>
      </c>
      <c r="F60" s="1292">
        <v>0</v>
      </c>
      <c r="G60" s="1292">
        <v>0</v>
      </c>
      <c r="H60" s="1292">
        <v>0</v>
      </c>
      <c r="I60" s="1292">
        <v>0</v>
      </c>
      <c r="J60" s="1292">
        <v>0</v>
      </c>
      <c r="K60" s="1292">
        <v>0</v>
      </c>
      <c r="L60" s="1292">
        <v>0</v>
      </c>
      <c r="M60" s="1292">
        <v>1072</v>
      </c>
      <c r="N60" s="1292">
        <v>1038</v>
      </c>
      <c r="O60" s="1292">
        <v>1071</v>
      </c>
      <c r="P60" s="1292">
        <v>1092</v>
      </c>
      <c r="Q60" s="1292">
        <v>1094</v>
      </c>
      <c r="R60" s="1292">
        <v>1082</v>
      </c>
      <c r="S60" s="1292">
        <v>1074</v>
      </c>
      <c r="T60" s="1292">
        <v>1070</v>
      </c>
      <c r="U60" s="1292">
        <v>1036</v>
      </c>
      <c r="V60" s="1292">
        <v>1004</v>
      </c>
      <c r="W60" s="1292">
        <v>0</v>
      </c>
      <c r="X60" s="1292">
        <v>0</v>
      </c>
      <c r="Y60" s="1292">
        <v>0</v>
      </c>
      <c r="Z60" s="1292">
        <v>0</v>
      </c>
      <c r="AA60" s="1292">
        <v>0</v>
      </c>
      <c r="AB60" s="1571">
        <v>0</v>
      </c>
      <c r="AC60" s="1570"/>
    </row>
    <row r="61" spans="1:29" ht="13.5" customHeight="1">
      <c r="A61" s="1306">
        <v>2</v>
      </c>
      <c r="B61" s="1305">
        <v>205</v>
      </c>
      <c r="C61" s="1572" t="s">
        <v>557</v>
      </c>
      <c r="D61" s="1303">
        <v>13.2</v>
      </c>
      <c r="E61" s="1293">
        <v>0</v>
      </c>
      <c r="F61" s="1292">
        <v>0</v>
      </c>
      <c r="G61" s="1292">
        <v>0</v>
      </c>
      <c r="H61" s="1292">
        <v>0</v>
      </c>
      <c r="I61" s="1292">
        <v>0</v>
      </c>
      <c r="J61" s="1292">
        <v>0</v>
      </c>
      <c r="K61" s="1292">
        <v>0</v>
      </c>
      <c r="L61" s="1292">
        <v>0</v>
      </c>
      <c r="M61" s="1292">
        <v>1238</v>
      </c>
      <c r="N61" s="1292">
        <v>1237</v>
      </c>
      <c r="O61" s="1292">
        <v>1280</v>
      </c>
      <c r="P61" s="1292">
        <v>1286</v>
      </c>
      <c r="Q61" s="1292">
        <v>1258</v>
      </c>
      <c r="R61" s="1292">
        <v>1220</v>
      </c>
      <c r="S61" s="1292">
        <v>1192</v>
      </c>
      <c r="T61" s="1292">
        <v>1171</v>
      </c>
      <c r="U61" s="1292">
        <v>1128</v>
      </c>
      <c r="V61" s="1292">
        <v>1081</v>
      </c>
      <c r="W61" s="1292">
        <v>0</v>
      </c>
      <c r="X61" s="1292">
        <v>0</v>
      </c>
      <c r="Y61" s="1292">
        <v>0</v>
      </c>
      <c r="Z61" s="1292">
        <v>0</v>
      </c>
      <c r="AA61" s="1292">
        <v>0</v>
      </c>
      <c r="AB61" s="1571">
        <v>0</v>
      </c>
      <c r="AC61" s="1570"/>
    </row>
    <row r="62" spans="1:29" ht="13.5" customHeight="1">
      <c r="A62" s="1409">
        <v>2</v>
      </c>
      <c r="B62" s="1410">
        <v>208</v>
      </c>
      <c r="C62" s="1594" t="s">
        <v>588</v>
      </c>
      <c r="D62" s="1412">
        <v>53.3</v>
      </c>
      <c r="E62" s="1416">
        <v>0</v>
      </c>
      <c r="F62" s="1417">
        <v>0</v>
      </c>
      <c r="G62" s="1417">
        <v>0</v>
      </c>
      <c r="H62" s="1417">
        <v>0</v>
      </c>
      <c r="I62" s="1417">
        <v>0</v>
      </c>
      <c r="J62" s="1417">
        <v>0</v>
      </c>
      <c r="K62" s="1417">
        <v>0</v>
      </c>
      <c r="L62" s="1417">
        <v>0</v>
      </c>
      <c r="M62" s="1417">
        <v>3471</v>
      </c>
      <c r="N62" s="1417">
        <v>3013</v>
      </c>
      <c r="O62" s="1417">
        <v>3117</v>
      </c>
      <c r="P62" s="1417">
        <v>3169</v>
      </c>
      <c r="Q62" s="1417">
        <v>3159</v>
      </c>
      <c r="R62" s="1417">
        <v>3109</v>
      </c>
      <c r="S62" s="1417">
        <v>3036</v>
      </c>
      <c r="T62" s="1417">
        <v>2945</v>
      </c>
      <c r="U62" s="1417">
        <v>2767</v>
      </c>
      <c r="V62" s="1417">
        <v>2602</v>
      </c>
      <c r="W62" s="1417">
        <v>0</v>
      </c>
      <c r="X62" s="1417">
        <v>0</v>
      </c>
      <c r="Y62" s="1417">
        <v>0</v>
      </c>
      <c r="Z62" s="1417">
        <v>0</v>
      </c>
      <c r="AA62" s="1417">
        <v>0</v>
      </c>
      <c r="AB62" s="1595">
        <v>0</v>
      </c>
      <c r="AC62" s="1596"/>
    </row>
    <row r="63" spans="1:29" ht="13.5" customHeight="1">
      <c r="A63" s="1611"/>
      <c r="B63" s="1612"/>
      <c r="C63" s="1613" t="s">
        <v>813</v>
      </c>
      <c r="D63" s="1614"/>
      <c r="E63" s="1615">
        <v>0</v>
      </c>
      <c r="F63" s="1616">
        <v>0</v>
      </c>
      <c r="G63" s="1616">
        <v>0</v>
      </c>
      <c r="H63" s="1616">
        <v>0</v>
      </c>
      <c r="I63" s="1616">
        <v>0</v>
      </c>
      <c r="J63" s="1616">
        <v>0</v>
      </c>
      <c r="K63" s="1616">
        <v>0</v>
      </c>
      <c r="L63" s="1616">
        <v>0</v>
      </c>
      <c r="M63" s="1616">
        <v>549</v>
      </c>
      <c r="N63" s="1616">
        <v>549</v>
      </c>
      <c r="O63" s="1616">
        <v>549</v>
      </c>
      <c r="P63" s="1616">
        <v>549</v>
      </c>
      <c r="Q63" s="1616">
        <v>549</v>
      </c>
      <c r="R63" s="1616">
        <v>549</v>
      </c>
      <c r="S63" s="1616">
        <v>549</v>
      </c>
      <c r="T63" s="1616">
        <v>549</v>
      </c>
      <c r="U63" s="1616">
        <v>549</v>
      </c>
      <c r="V63" s="1616">
        <v>549</v>
      </c>
      <c r="W63" s="1616">
        <v>0</v>
      </c>
      <c r="X63" s="1616">
        <v>0</v>
      </c>
      <c r="Y63" s="1616">
        <v>0</v>
      </c>
      <c r="Z63" s="1616">
        <v>0</v>
      </c>
      <c r="AA63" s="1616">
        <v>0</v>
      </c>
      <c r="AB63" s="1616">
        <v>0</v>
      </c>
      <c r="AC63" s="1617"/>
    </row>
    <row r="64" spans="1:29" ht="13.5" customHeight="1" thickBot="1">
      <c r="A64" s="1611"/>
      <c r="B64" s="1612"/>
      <c r="C64" s="1613" t="s">
        <v>817</v>
      </c>
      <c r="D64" s="1614"/>
      <c r="E64" s="1615">
        <v>0</v>
      </c>
      <c r="F64" s="1616">
        <v>0</v>
      </c>
      <c r="G64" s="1616">
        <v>0</v>
      </c>
      <c r="H64" s="1616">
        <v>0</v>
      </c>
      <c r="I64" s="1616">
        <v>0</v>
      </c>
      <c r="J64" s="1616">
        <v>0</v>
      </c>
      <c r="K64" s="1616">
        <v>0</v>
      </c>
      <c r="L64" s="1616">
        <v>0</v>
      </c>
      <c r="M64" s="1616">
        <v>124</v>
      </c>
      <c r="N64" s="1616">
        <v>124</v>
      </c>
      <c r="O64" s="1616">
        <v>124</v>
      </c>
      <c r="P64" s="1616">
        <v>124</v>
      </c>
      <c r="Q64" s="1616">
        <v>124</v>
      </c>
      <c r="R64" s="1616">
        <v>124</v>
      </c>
      <c r="S64" s="1616">
        <v>124</v>
      </c>
      <c r="T64" s="1616">
        <v>124</v>
      </c>
      <c r="U64" s="1616">
        <v>124</v>
      </c>
      <c r="V64" s="1616">
        <v>124</v>
      </c>
      <c r="W64" s="1616">
        <v>0</v>
      </c>
      <c r="X64" s="1616">
        <v>0</v>
      </c>
      <c r="Y64" s="1616">
        <v>0</v>
      </c>
      <c r="Z64" s="1616">
        <v>0</v>
      </c>
      <c r="AA64" s="1616">
        <v>0</v>
      </c>
      <c r="AB64" s="1616">
        <v>0</v>
      </c>
      <c r="AC64" s="1617"/>
    </row>
    <row r="65" spans="1:29" ht="13.5" customHeight="1" thickTop="1">
      <c r="A65" s="1622" t="s">
        <v>815</v>
      </c>
      <c r="B65" s="1568"/>
      <c r="C65" s="1569"/>
      <c r="D65" s="1623">
        <v>134.5</v>
      </c>
      <c r="E65" s="1619">
        <v>0</v>
      </c>
      <c r="F65" s="1620">
        <v>0</v>
      </c>
      <c r="G65" s="1620">
        <v>0</v>
      </c>
      <c r="H65" s="1620">
        <v>0</v>
      </c>
      <c r="I65" s="1620">
        <v>0</v>
      </c>
      <c r="J65" s="1620">
        <v>0</v>
      </c>
      <c r="K65" s="1620">
        <v>0</v>
      </c>
      <c r="L65" s="1620">
        <v>0</v>
      </c>
      <c r="M65" s="1620">
        <v>11196</v>
      </c>
      <c r="N65" s="1620">
        <v>10715</v>
      </c>
      <c r="O65" s="1620">
        <v>11797</v>
      </c>
      <c r="P65" s="1620">
        <v>12145</v>
      </c>
      <c r="Q65" s="1620">
        <v>12765</v>
      </c>
      <c r="R65" s="1620">
        <v>12632</v>
      </c>
      <c r="S65" s="1620">
        <v>12172</v>
      </c>
      <c r="T65" s="1620">
        <v>11424</v>
      </c>
      <c r="U65" s="1620">
        <v>10331</v>
      </c>
      <c r="V65" s="1620">
        <v>9287</v>
      </c>
      <c r="W65" s="1620">
        <v>0</v>
      </c>
      <c r="X65" s="1620">
        <v>0</v>
      </c>
      <c r="Y65" s="1620">
        <v>0</v>
      </c>
      <c r="Z65" s="1620">
        <v>0</v>
      </c>
      <c r="AA65" s="1620">
        <v>0</v>
      </c>
      <c r="AB65" s="1620">
        <v>0</v>
      </c>
      <c r="AC65" s="1621"/>
    </row>
    <row r="66" spans="1:29" ht="13.5" customHeight="1" thickBot="1">
      <c r="A66" s="1409"/>
      <c r="B66" s="1410"/>
      <c r="C66" s="1630"/>
      <c r="D66" s="1412"/>
      <c r="E66" s="1416"/>
      <c r="F66" s="1417"/>
      <c r="G66" s="1417"/>
      <c r="H66" s="1417"/>
      <c r="I66" s="1417"/>
      <c r="J66" s="1417"/>
      <c r="K66" s="1417"/>
      <c r="L66" s="1417"/>
      <c r="M66" s="1417"/>
      <c r="N66" s="1417"/>
      <c r="O66" s="1417"/>
      <c r="P66" s="1417"/>
      <c r="Q66" s="1417"/>
      <c r="R66" s="1417"/>
      <c r="S66" s="1417"/>
      <c r="T66" s="1417"/>
      <c r="U66" s="1417"/>
      <c r="V66" s="1417"/>
      <c r="W66" s="1417"/>
      <c r="X66" s="1417"/>
      <c r="Y66" s="1417"/>
      <c r="Z66" s="1417"/>
      <c r="AA66" s="1417"/>
      <c r="AB66" s="1595"/>
      <c r="AC66" s="1596"/>
    </row>
    <row r="67" spans="1:29" ht="13.5" customHeight="1" thickTop="1">
      <c r="A67" s="1647" t="s">
        <v>820</v>
      </c>
      <c r="B67" s="1648"/>
      <c r="C67" s="1648"/>
      <c r="D67" s="1643">
        <v>134.5</v>
      </c>
      <c r="E67" s="1644">
        <v>0</v>
      </c>
      <c r="F67" s="1645">
        <v>0</v>
      </c>
      <c r="G67" s="1645">
        <v>0</v>
      </c>
      <c r="H67" s="1645">
        <v>0</v>
      </c>
      <c r="I67" s="1645">
        <v>0</v>
      </c>
      <c r="J67" s="1645">
        <v>0</v>
      </c>
      <c r="K67" s="1645">
        <v>0</v>
      </c>
      <c r="L67" s="1645">
        <v>0</v>
      </c>
      <c r="M67" s="1645">
        <v>12791</v>
      </c>
      <c r="N67" s="1645">
        <v>12398</v>
      </c>
      <c r="O67" s="1645">
        <v>13480</v>
      </c>
      <c r="P67" s="1645">
        <v>13863</v>
      </c>
      <c r="Q67" s="1645">
        <v>14466</v>
      </c>
      <c r="R67" s="1645">
        <v>14291</v>
      </c>
      <c r="S67" s="1645">
        <v>13814</v>
      </c>
      <c r="T67" s="1645">
        <v>13072</v>
      </c>
      <c r="U67" s="1645">
        <v>11943</v>
      </c>
      <c r="V67" s="1645">
        <v>10935</v>
      </c>
      <c r="W67" s="1645">
        <v>0</v>
      </c>
      <c r="X67" s="1645">
        <v>0</v>
      </c>
      <c r="Y67" s="1645">
        <v>0</v>
      </c>
      <c r="Z67" s="1645">
        <v>0</v>
      </c>
      <c r="AA67" s="1645">
        <v>0</v>
      </c>
      <c r="AB67" s="1645">
        <v>0</v>
      </c>
      <c r="AC67" s="1646"/>
    </row>
    <row r="68" spans="1:29" ht="13.5" customHeight="1">
      <c r="A68" s="1306"/>
      <c r="B68" s="1305"/>
      <c r="C68" s="1592"/>
      <c r="D68" s="1303"/>
      <c r="E68" s="1293"/>
      <c r="F68" s="1292"/>
      <c r="G68" s="1292"/>
      <c r="H68" s="1292"/>
      <c r="I68" s="1292"/>
      <c r="J68" s="1292"/>
      <c r="K68" s="1292"/>
      <c r="L68" s="1292"/>
      <c r="M68" s="1292"/>
      <c r="N68" s="1292"/>
      <c r="O68" s="1292"/>
      <c r="P68" s="1292"/>
      <c r="Q68" s="1292"/>
      <c r="R68" s="1292"/>
      <c r="S68" s="1292"/>
      <c r="T68" s="1292"/>
      <c r="U68" s="1292"/>
      <c r="V68" s="1292"/>
      <c r="W68" s="1292"/>
      <c r="X68" s="1292"/>
      <c r="Y68" s="1292"/>
      <c r="Z68" s="1292"/>
      <c r="AA68" s="1292"/>
      <c r="AB68" s="1571"/>
      <c r="AC68" s="1570"/>
    </row>
    <row r="69" spans="1:29" ht="13.5" customHeight="1">
      <c r="A69" s="1306"/>
      <c r="B69" s="1305"/>
      <c r="C69" s="1572"/>
      <c r="D69" s="1303"/>
      <c r="E69" s="1293"/>
      <c r="F69" s="1292"/>
      <c r="G69" s="1292"/>
      <c r="H69" s="1292"/>
      <c r="I69" s="1292"/>
      <c r="J69" s="1292"/>
      <c r="K69" s="1292"/>
      <c r="L69" s="1292"/>
      <c r="M69" s="1292"/>
      <c r="N69" s="1292"/>
      <c r="O69" s="1292"/>
      <c r="P69" s="1292"/>
      <c r="Q69" s="1292"/>
      <c r="R69" s="1292"/>
      <c r="S69" s="1292"/>
      <c r="T69" s="1292"/>
      <c r="U69" s="1292"/>
      <c r="V69" s="1292"/>
      <c r="W69" s="1292"/>
      <c r="X69" s="1292"/>
      <c r="Y69" s="1292"/>
      <c r="Z69" s="1292"/>
      <c r="AA69" s="1292"/>
      <c r="AB69" s="1571"/>
      <c r="AC69" s="1570"/>
    </row>
    <row r="70" spans="1:29" ht="13.5" customHeight="1">
      <c r="A70" s="1306"/>
      <c r="B70" s="1305"/>
      <c r="C70" s="1572"/>
      <c r="D70" s="1303"/>
      <c r="E70" s="1293"/>
      <c r="F70" s="1292"/>
      <c r="G70" s="1292"/>
      <c r="H70" s="1292"/>
      <c r="I70" s="1292"/>
      <c r="J70" s="1292"/>
      <c r="K70" s="1292"/>
      <c r="L70" s="1292"/>
      <c r="M70" s="1292"/>
      <c r="N70" s="1292"/>
      <c r="O70" s="1292"/>
      <c r="P70" s="1292"/>
      <c r="Q70" s="1292"/>
      <c r="R70" s="1292"/>
      <c r="S70" s="1292"/>
      <c r="T70" s="1292"/>
      <c r="U70" s="1292"/>
      <c r="V70" s="1292"/>
      <c r="W70" s="1292"/>
      <c r="X70" s="1292"/>
      <c r="Y70" s="1292"/>
      <c r="Z70" s="1292"/>
      <c r="AA70" s="1292"/>
      <c r="AB70" s="1571"/>
      <c r="AC70" s="1570"/>
    </row>
    <row r="71" spans="1:29" ht="13.5" customHeight="1">
      <c r="A71" s="1306"/>
      <c r="B71" s="1305"/>
      <c r="C71" s="1572"/>
      <c r="D71" s="1303"/>
      <c r="E71" s="1293"/>
      <c r="F71" s="1292"/>
      <c r="G71" s="1292"/>
      <c r="H71" s="1292"/>
      <c r="I71" s="1292"/>
      <c r="J71" s="1292"/>
      <c r="K71" s="1292"/>
      <c r="L71" s="1292"/>
      <c r="M71" s="1292"/>
      <c r="N71" s="1292"/>
      <c r="O71" s="1292"/>
      <c r="P71" s="1292"/>
      <c r="Q71" s="1292"/>
      <c r="R71" s="1292"/>
      <c r="S71" s="1292"/>
      <c r="T71" s="1292"/>
      <c r="U71" s="1292"/>
      <c r="V71" s="1292"/>
      <c r="W71" s="1292"/>
      <c r="X71" s="1292"/>
      <c r="Y71" s="1292"/>
      <c r="Z71" s="1292"/>
      <c r="AA71" s="1292"/>
      <c r="AB71" s="1571"/>
      <c r="AC71" s="1570"/>
    </row>
    <row r="72" spans="1:29" ht="13.5" customHeight="1">
      <c r="A72" s="1306"/>
      <c r="B72" s="1305"/>
      <c r="C72" s="1572"/>
      <c r="D72" s="1303"/>
      <c r="E72" s="1293"/>
      <c r="F72" s="1292"/>
      <c r="G72" s="1292"/>
      <c r="H72" s="1292"/>
      <c r="I72" s="1292"/>
      <c r="J72" s="1292"/>
      <c r="K72" s="1292"/>
      <c r="L72" s="1292"/>
      <c r="M72" s="1292"/>
      <c r="N72" s="1292"/>
      <c r="O72" s="1292"/>
      <c r="P72" s="1292"/>
      <c r="Q72" s="1292"/>
      <c r="R72" s="1292"/>
      <c r="S72" s="1292"/>
      <c r="T72" s="1292"/>
      <c r="U72" s="1292"/>
      <c r="V72" s="1292"/>
      <c r="W72" s="1292"/>
      <c r="X72" s="1292"/>
      <c r="Y72" s="1292"/>
      <c r="Z72" s="1292"/>
      <c r="AA72" s="1292"/>
      <c r="AB72" s="1571"/>
      <c r="AC72" s="1570"/>
    </row>
    <row r="73" spans="1:29" ht="13.5" customHeight="1">
      <c r="A73" s="1306"/>
      <c r="B73" s="1305"/>
      <c r="C73" s="1572"/>
      <c r="D73" s="1303"/>
      <c r="E73" s="1293"/>
      <c r="F73" s="1292"/>
      <c r="G73" s="1292"/>
      <c r="H73" s="1292"/>
      <c r="I73" s="1292"/>
      <c r="J73" s="1292"/>
      <c r="K73" s="1292"/>
      <c r="L73" s="1292"/>
      <c r="M73" s="1292"/>
      <c r="N73" s="1292"/>
      <c r="O73" s="1292"/>
      <c r="P73" s="1292"/>
      <c r="Q73" s="1292"/>
      <c r="R73" s="1292"/>
      <c r="S73" s="1292"/>
      <c r="T73" s="1292"/>
      <c r="U73" s="1292"/>
      <c r="V73" s="1292"/>
      <c r="W73" s="1292"/>
      <c r="X73" s="1292"/>
      <c r="Y73" s="1292"/>
      <c r="Z73" s="1292"/>
      <c r="AA73" s="1292"/>
      <c r="AB73" s="1571"/>
      <c r="AC73" s="1570"/>
    </row>
    <row r="74" spans="1:29" ht="13.5" customHeight="1">
      <c r="A74" s="1306"/>
      <c r="B74" s="1305"/>
      <c r="C74" s="1572"/>
      <c r="D74" s="1303"/>
      <c r="E74" s="1293"/>
      <c r="F74" s="1292"/>
      <c r="G74" s="1292"/>
      <c r="H74" s="1292"/>
      <c r="I74" s="1292"/>
      <c r="J74" s="1292"/>
      <c r="K74" s="1292"/>
      <c r="L74" s="1292"/>
      <c r="M74" s="1292"/>
      <c r="N74" s="1292"/>
      <c r="O74" s="1292"/>
      <c r="P74" s="1292"/>
      <c r="Q74" s="1292"/>
      <c r="R74" s="1292"/>
      <c r="S74" s="1292"/>
      <c r="T74" s="1292"/>
      <c r="U74" s="1292"/>
      <c r="V74" s="1292"/>
      <c r="W74" s="1292"/>
      <c r="X74" s="1292"/>
      <c r="Y74" s="1292"/>
      <c r="Z74" s="1292"/>
      <c r="AA74" s="1292"/>
      <c r="AB74" s="1571"/>
      <c r="AC74" s="1570"/>
    </row>
    <row r="75" spans="1:29" ht="13.5" customHeight="1">
      <c r="A75" s="1306"/>
      <c r="B75" s="1305"/>
      <c r="C75" s="1572"/>
      <c r="D75" s="1303"/>
      <c r="E75" s="1293"/>
      <c r="F75" s="1292"/>
      <c r="G75" s="1292"/>
      <c r="H75" s="1292"/>
      <c r="I75" s="1292"/>
      <c r="J75" s="1292"/>
      <c r="K75" s="1292"/>
      <c r="L75" s="1292"/>
      <c r="M75" s="1292"/>
      <c r="N75" s="1292"/>
      <c r="O75" s="1292"/>
      <c r="P75" s="1292"/>
      <c r="Q75" s="1292"/>
      <c r="R75" s="1292"/>
      <c r="S75" s="1292"/>
      <c r="T75" s="1292"/>
      <c r="U75" s="1292"/>
      <c r="V75" s="1292"/>
      <c r="W75" s="1292"/>
      <c r="X75" s="1292"/>
      <c r="Y75" s="1292"/>
      <c r="Z75" s="1292"/>
      <c r="AA75" s="1292"/>
      <c r="AB75" s="1571"/>
      <c r="AC75" s="1570"/>
    </row>
    <row r="76" spans="1:29" ht="13.5" customHeight="1">
      <c r="A76" s="1306"/>
      <c r="B76" s="1305"/>
      <c r="C76" s="1572"/>
      <c r="D76" s="1303"/>
      <c r="E76" s="1293"/>
      <c r="F76" s="1292"/>
      <c r="G76" s="1292"/>
      <c r="H76" s="1292"/>
      <c r="I76" s="1292"/>
      <c r="J76" s="1292"/>
      <c r="K76" s="1292"/>
      <c r="L76" s="1292"/>
      <c r="M76" s="1292"/>
      <c r="N76" s="1292"/>
      <c r="O76" s="1292"/>
      <c r="P76" s="1292"/>
      <c r="Q76" s="1292"/>
      <c r="R76" s="1292"/>
      <c r="S76" s="1292"/>
      <c r="T76" s="1292"/>
      <c r="U76" s="1292"/>
      <c r="V76" s="1292"/>
      <c r="W76" s="1292"/>
      <c r="X76" s="1292"/>
      <c r="Y76" s="1292"/>
      <c r="Z76" s="1292"/>
      <c r="AA76" s="1292"/>
      <c r="AB76" s="1571"/>
      <c r="AC76" s="1570"/>
    </row>
    <row r="77" spans="1:29" ht="13.5" customHeight="1">
      <c r="A77" s="1306"/>
      <c r="B77" s="1305"/>
      <c r="C77" s="1572"/>
      <c r="D77" s="1303"/>
      <c r="E77" s="1293"/>
      <c r="F77" s="1292"/>
      <c r="G77" s="1292"/>
      <c r="H77" s="1292"/>
      <c r="I77" s="1292"/>
      <c r="J77" s="1292"/>
      <c r="K77" s="1292"/>
      <c r="L77" s="1292"/>
      <c r="M77" s="1292"/>
      <c r="N77" s="1292"/>
      <c r="O77" s="1292"/>
      <c r="P77" s="1292"/>
      <c r="Q77" s="1292"/>
      <c r="R77" s="1292"/>
      <c r="S77" s="1292"/>
      <c r="T77" s="1292"/>
      <c r="U77" s="1292"/>
      <c r="V77" s="1292"/>
      <c r="W77" s="1292"/>
      <c r="X77" s="1292"/>
      <c r="Y77" s="1292"/>
      <c r="Z77" s="1292"/>
      <c r="AA77" s="1292"/>
      <c r="AB77" s="1571"/>
      <c r="AC77" s="1570"/>
    </row>
    <row r="78" spans="1:29" ht="13.5" customHeight="1">
      <c r="A78" s="1306"/>
      <c r="B78" s="1305"/>
      <c r="C78" s="1572"/>
      <c r="D78" s="1303"/>
      <c r="E78" s="1293"/>
      <c r="F78" s="1292"/>
      <c r="G78" s="1292"/>
      <c r="H78" s="1292"/>
      <c r="I78" s="1292"/>
      <c r="J78" s="1292"/>
      <c r="K78" s="1292"/>
      <c r="L78" s="1292"/>
      <c r="M78" s="1292"/>
      <c r="N78" s="1292"/>
      <c r="O78" s="1292"/>
      <c r="P78" s="1292"/>
      <c r="Q78" s="1292"/>
      <c r="R78" s="1292"/>
      <c r="S78" s="1292"/>
      <c r="T78" s="1292"/>
      <c r="U78" s="1292"/>
      <c r="V78" s="1292"/>
      <c r="W78" s="1292"/>
      <c r="X78" s="1292"/>
      <c r="Y78" s="1292"/>
      <c r="Z78" s="1292"/>
      <c r="AA78" s="1292"/>
      <c r="AB78" s="1571"/>
      <c r="AC78" s="1570"/>
    </row>
    <row r="79" spans="1:29" ht="13.5" customHeight="1">
      <c r="A79" s="1306"/>
      <c r="B79" s="1305"/>
      <c r="C79" s="1572"/>
      <c r="D79" s="1303"/>
      <c r="E79" s="1293"/>
      <c r="F79" s="1292"/>
      <c r="G79" s="1292"/>
      <c r="H79" s="1292"/>
      <c r="I79" s="1292"/>
      <c r="J79" s="1292"/>
      <c r="K79" s="1292"/>
      <c r="L79" s="1292"/>
      <c r="M79" s="1292"/>
      <c r="N79" s="1292"/>
      <c r="O79" s="1292"/>
      <c r="P79" s="1292"/>
      <c r="Q79" s="1292"/>
      <c r="R79" s="1292"/>
      <c r="S79" s="1292"/>
      <c r="T79" s="1292"/>
      <c r="U79" s="1292"/>
      <c r="V79" s="1292"/>
      <c r="W79" s="1292"/>
      <c r="X79" s="1292"/>
      <c r="Y79" s="1292"/>
      <c r="Z79" s="1292"/>
      <c r="AA79" s="1292"/>
      <c r="AB79" s="1571"/>
      <c r="AC79" s="1570"/>
    </row>
    <row r="80" spans="1:29" ht="13.5" customHeight="1">
      <c r="A80" s="1306"/>
      <c r="B80" s="1305"/>
      <c r="C80" s="1572"/>
      <c r="D80" s="1303"/>
      <c r="E80" s="1293"/>
      <c r="F80" s="1292"/>
      <c r="G80" s="1292"/>
      <c r="H80" s="1292"/>
      <c r="I80" s="1292"/>
      <c r="J80" s="1292"/>
      <c r="K80" s="1292"/>
      <c r="L80" s="1292"/>
      <c r="M80" s="1292"/>
      <c r="N80" s="1292"/>
      <c r="O80" s="1292"/>
      <c r="P80" s="1292"/>
      <c r="Q80" s="1292"/>
      <c r="R80" s="1292"/>
      <c r="S80" s="1292"/>
      <c r="T80" s="1292"/>
      <c r="U80" s="1292"/>
      <c r="V80" s="1292"/>
      <c r="W80" s="1292"/>
      <c r="X80" s="1292"/>
      <c r="Y80" s="1292"/>
      <c r="Z80" s="1292"/>
      <c r="AA80" s="1292"/>
      <c r="AB80" s="1571"/>
      <c r="AC80" s="1570"/>
    </row>
    <row r="81" spans="1:29" ht="13.5" customHeight="1">
      <c r="A81" s="1306"/>
      <c r="B81" s="1305"/>
      <c r="C81" s="1572"/>
      <c r="D81" s="1303"/>
      <c r="E81" s="1293"/>
      <c r="F81" s="1292"/>
      <c r="G81" s="1292"/>
      <c r="H81" s="1292"/>
      <c r="I81" s="1292"/>
      <c r="J81" s="1292"/>
      <c r="K81" s="1292"/>
      <c r="L81" s="1292"/>
      <c r="M81" s="1292"/>
      <c r="N81" s="1292"/>
      <c r="O81" s="1292"/>
      <c r="P81" s="1292"/>
      <c r="Q81" s="1292"/>
      <c r="R81" s="1292"/>
      <c r="S81" s="1292"/>
      <c r="T81" s="1292"/>
      <c r="U81" s="1292"/>
      <c r="V81" s="1292"/>
      <c r="W81" s="1292"/>
      <c r="X81" s="1292"/>
      <c r="Y81" s="1292"/>
      <c r="Z81" s="1292"/>
      <c r="AA81" s="1292"/>
      <c r="AB81" s="1571"/>
      <c r="AC81" s="1570"/>
    </row>
    <row r="82" spans="1:29" ht="13.5" customHeight="1">
      <c r="A82" s="1306"/>
      <c r="B82" s="1305"/>
      <c r="C82" s="1572"/>
      <c r="D82" s="1303"/>
      <c r="E82" s="1293"/>
      <c r="F82" s="1292"/>
      <c r="G82" s="1292"/>
      <c r="H82" s="1292"/>
      <c r="I82" s="1292"/>
      <c r="J82" s="1292"/>
      <c r="K82" s="1292"/>
      <c r="L82" s="1292"/>
      <c r="M82" s="1292"/>
      <c r="N82" s="1292"/>
      <c r="O82" s="1292"/>
      <c r="P82" s="1292"/>
      <c r="Q82" s="1292"/>
      <c r="R82" s="1292"/>
      <c r="S82" s="1292"/>
      <c r="T82" s="1292"/>
      <c r="U82" s="1292"/>
      <c r="V82" s="1292"/>
      <c r="W82" s="1292"/>
      <c r="X82" s="1292"/>
      <c r="Y82" s="1292"/>
      <c r="Z82" s="1292"/>
      <c r="AA82" s="1292"/>
      <c r="AB82" s="1571"/>
      <c r="AC82" s="1570"/>
    </row>
    <row r="83" spans="1:29" ht="13.5" customHeight="1">
      <c r="A83" s="1306"/>
      <c r="B83" s="1305"/>
      <c r="C83" s="1572"/>
      <c r="D83" s="1303"/>
      <c r="E83" s="1293"/>
      <c r="F83" s="1292"/>
      <c r="G83" s="1292"/>
      <c r="H83" s="1292"/>
      <c r="I83" s="1292"/>
      <c r="J83" s="1292"/>
      <c r="K83" s="1292"/>
      <c r="L83" s="1292"/>
      <c r="M83" s="1292"/>
      <c r="N83" s="1292"/>
      <c r="O83" s="1292"/>
      <c r="P83" s="1292"/>
      <c r="Q83" s="1292"/>
      <c r="R83" s="1292"/>
      <c r="S83" s="1292"/>
      <c r="T83" s="1292"/>
      <c r="U83" s="1292"/>
      <c r="V83" s="1292"/>
      <c r="W83" s="1292"/>
      <c r="X83" s="1292"/>
      <c r="Y83" s="1292"/>
      <c r="Z83" s="1292"/>
      <c r="AA83" s="1292"/>
      <c r="AB83" s="1571"/>
      <c r="AC83" s="1570"/>
    </row>
    <row r="84" spans="1:29" ht="13.5" customHeight="1">
      <c r="A84" s="1306"/>
      <c r="B84" s="1305"/>
      <c r="C84" s="1572"/>
      <c r="D84" s="1303"/>
      <c r="E84" s="1293"/>
      <c r="F84" s="1292"/>
      <c r="G84" s="1292"/>
      <c r="H84" s="1292"/>
      <c r="I84" s="1292"/>
      <c r="J84" s="1292"/>
      <c r="K84" s="1292"/>
      <c r="L84" s="1292"/>
      <c r="M84" s="1292"/>
      <c r="N84" s="1292"/>
      <c r="O84" s="1292"/>
      <c r="P84" s="1292"/>
      <c r="Q84" s="1292"/>
      <c r="R84" s="1292"/>
      <c r="S84" s="1292"/>
      <c r="T84" s="1292"/>
      <c r="U84" s="1292"/>
      <c r="V84" s="1292"/>
      <c r="W84" s="1292"/>
      <c r="X84" s="1292"/>
      <c r="Y84" s="1292"/>
      <c r="Z84" s="1292"/>
      <c r="AA84" s="1292"/>
      <c r="AB84" s="1571"/>
      <c r="AC84" s="1570"/>
    </row>
    <row r="85" spans="1:29" ht="13.5" customHeight="1">
      <c r="A85" s="1306"/>
      <c r="B85" s="1305"/>
      <c r="C85" s="1572"/>
      <c r="D85" s="1303"/>
      <c r="E85" s="1293"/>
      <c r="F85" s="1292"/>
      <c r="G85" s="1292"/>
      <c r="H85" s="1292"/>
      <c r="I85" s="1292"/>
      <c r="J85" s="1292"/>
      <c r="K85" s="1292"/>
      <c r="L85" s="1292"/>
      <c r="M85" s="1292"/>
      <c r="N85" s="1292"/>
      <c r="O85" s="1292"/>
      <c r="P85" s="1292"/>
      <c r="Q85" s="1292"/>
      <c r="R85" s="1292"/>
      <c r="S85" s="1292"/>
      <c r="T85" s="1292"/>
      <c r="U85" s="1292"/>
      <c r="V85" s="1292"/>
      <c r="W85" s="1292"/>
      <c r="X85" s="1292"/>
      <c r="Y85" s="1292"/>
      <c r="Z85" s="1292"/>
      <c r="AA85" s="1292"/>
      <c r="AB85" s="1571"/>
      <c r="AC85" s="1570"/>
    </row>
    <row r="86" spans="1:29" ht="13.5" customHeight="1">
      <c r="A86" s="1306"/>
      <c r="B86" s="1305"/>
      <c r="C86" s="1572"/>
      <c r="D86" s="1303"/>
      <c r="E86" s="1293"/>
      <c r="F86" s="1292"/>
      <c r="G86" s="1292"/>
      <c r="H86" s="1292"/>
      <c r="I86" s="1292"/>
      <c r="J86" s="1292"/>
      <c r="K86" s="1292"/>
      <c r="L86" s="1292"/>
      <c r="M86" s="1292"/>
      <c r="N86" s="1292"/>
      <c r="O86" s="1292"/>
      <c r="P86" s="1292"/>
      <c r="Q86" s="1292"/>
      <c r="R86" s="1292"/>
      <c r="S86" s="1292"/>
      <c r="T86" s="1292"/>
      <c r="U86" s="1292"/>
      <c r="V86" s="1292"/>
      <c r="W86" s="1292"/>
      <c r="X86" s="1292"/>
      <c r="Y86" s="1292"/>
      <c r="Z86" s="1292"/>
      <c r="AA86" s="1292"/>
      <c r="AB86" s="1571"/>
      <c r="AC86" s="1570"/>
    </row>
    <row r="87" spans="1:29" ht="13.5" customHeight="1">
      <c r="A87" s="1306"/>
      <c r="B87" s="1305"/>
      <c r="C87" s="1572"/>
      <c r="D87" s="1303"/>
      <c r="E87" s="1293"/>
      <c r="F87" s="1292"/>
      <c r="G87" s="1292"/>
      <c r="H87" s="1292"/>
      <c r="I87" s="1292"/>
      <c r="J87" s="1292"/>
      <c r="K87" s="1292"/>
      <c r="L87" s="1292"/>
      <c r="M87" s="1292"/>
      <c r="N87" s="1292"/>
      <c r="O87" s="1292"/>
      <c r="P87" s="1292"/>
      <c r="Q87" s="1292"/>
      <c r="R87" s="1292"/>
      <c r="S87" s="1292"/>
      <c r="T87" s="1292"/>
      <c r="U87" s="1292"/>
      <c r="V87" s="1292"/>
      <c r="W87" s="1292"/>
      <c r="X87" s="1292"/>
      <c r="Y87" s="1292"/>
      <c r="Z87" s="1292"/>
      <c r="AA87" s="1292"/>
      <c r="AB87" s="1571"/>
      <c r="AC87" s="1570"/>
    </row>
    <row r="88" spans="1:29" ht="13.5" customHeight="1">
      <c r="A88" s="1306"/>
      <c r="B88" s="1305"/>
      <c r="C88" s="1572"/>
      <c r="D88" s="1303"/>
      <c r="E88" s="1293"/>
      <c r="F88" s="1292"/>
      <c r="G88" s="1292"/>
      <c r="H88" s="1292"/>
      <c r="I88" s="1292"/>
      <c r="J88" s="1292"/>
      <c r="K88" s="1292"/>
      <c r="L88" s="1292"/>
      <c r="M88" s="1292"/>
      <c r="N88" s="1292"/>
      <c r="O88" s="1292"/>
      <c r="P88" s="1292"/>
      <c r="Q88" s="1292"/>
      <c r="R88" s="1292"/>
      <c r="S88" s="1292"/>
      <c r="T88" s="1292"/>
      <c r="U88" s="1292"/>
      <c r="V88" s="1292"/>
      <c r="W88" s="1292"/>
      <c r="X88" s="1292"/>
      <c r="Y88" s="1292"/>
      <c r="Z88" s="1292"/>
      <c r="AA88" s="1292"/>
      <c r="AB88" s="1571"/>
      <c r="AC88" s="1570"/>
    </row>
    <row r="89" spans="1:29" ht="13.5" customHeight="1">
      <c r="A89" s="1306"/>
      <c r="B89" s="1305"/>
      <c r="C89" s="1572"/>
      <c r="D89" s="1303"/>
      <c r="E89" s="1293"/>
      <c r="F89" s="1292"/>
      <c r="G89" s="1292"/>
      <c r="H89" s="1292"/>
      <c r="I89" s="1292"/>
      <c r="J89" s="1292"/>
      <c r="K89" s="1292"/>
      <c r="L89" s="1292"/>
      <c r="M89" s="1292"/>
      <c r="N89" s="1292"/>
      <c r="O89" s="1292"/>
      <c r="P89" s="1292"/>
      <c r="Q89" s="1292"/>
      <c r="R89" s="1292"/>
      <c r="S89" s="1292"/>
      <c r="T89" s="1292"/>
      <c r="U89" s="1292"/>
      <c r="V89" s="1292"/>
      <c r="W89" s="1292"/>
      <c r="X89" s="1292"/>
      <c r="Y89" s="1292"/>
      <c r="Z89" s="1292"/>
      <c r="AA89" s="1292"/>
      <c r="AB89" s="1571"/>
      <c r="AC89" s="1570"/>
    </row>
    <row r="90" spans="1:29" ht="13.5" customHeight="1">
      <c r="A90" s="1306"/>
      <c r="B90" s="1305"/>
      <c r="C90" s="1572"/>
      <c r="D90" s="1303"/>
      <c r="E90" s="1293"/>
      <c r="F90" s="1292"/>
      <c r="G90" s="1292"/>
      <c r="H90" s="1292"/>
      <c r="I90" s="1292"/>
      <c r="J90" s="1292"/>
      <c r="K90" s="1292"/>
      <c r="L90" s="1292"/>
      <c r="M90" s="1292"/>
      <c r="N90" s="1292"/>
      <c r="O90" s="1292"/>
      <c r="P90" s="1292"/>
      <c r="Q90" s="1292"/>
      <c r="R90" s="1292"/>
      <c r="S90" s="1292"/>
      <c r="T90" s="1292"/>
      <c r="U90" s="1292"/>
      <c r="V90" s="1292"/>
      <c r="W90" s="1292"/>
      <c r="X90" s="1292"/>
      <c r="Y90" s="1292"/>
      <c r="Z90" s="1292"/>
      <c r="AA90" s="1292"/>
      <c r="AB90" s="1571"/>
      <c r="AC90" s="1570"/>
    </row>
    <row r="91" spans="1:29" ht="13.5" customHeight="1">
      <c r="A91" s="1306"/>
      <c r="B91" s="1305"/>
      <c r="C91" s="1572"/>
      <c r="D91" s="1303"/>
      <c r="E91" s="1293"/>
      <c r="F91" s="1292"/>
      <c r="G91" s="1292"/>
      <c r="H91" s="1292"/>
      <c r="I91" s="1292"/>
      <c r="J91" s="1292"/>
      <c r="K91" s="1292"/>
      <c r="L91" s="1292"/>
      <c r="M91" s="1292"/>
      <c r="N91" s="1292"/>
      <c r="O91" s="1292"/>
      <c r="P91" s="1292"/>
      <c r="Q91" s="1292"/>
      <c r="R91" s="1292"/>
      <c r="S91" s="1292"/>
      <c r="T91" s="1292"/>
      <c r="U91" s="1292"/>
      <c r="V91" s="1292"/>
      <c r="W91" s="1292"/>
      <c r="X91" s="1292"/>
      <c r="Y91" s="1292"/>
      <c r="Z91" s="1292"/>
      <c r="AA91" s="1292"/>
      <c r="AB91" s="1571"/>
      <c r="AC91" s="1570"/>
    </row>
    <row r="92" spans="1:29" ht="13.5" customHeight="1">
      <c r="A92" s="1306"/>
      <c r="B92" s="1305"/>
      <c r="C92" s="1572"/>
      <c r="D92" s="1303"/>
      <c r="E92" s="1293"/>
      <c r="F92" s="1292"/>
      <c r="G92" s="1292"/>
      <c r="H92" s="1292"/>
      <c r="I92" s="1292"/>
      <c r="J92" s="1292"/>
      <c r="K92" s="1292"/>
      <c r="L92" s="1292"/>
      <c r="M92" s="1292"/>
      <c r="N92" s="1292"/>
      <c r="O92" s="1292"/>
      <c r="P92" s="1292"/>
      <c r="Q92" s="1292"/>
      <c r="R92" s="1292"/>
      <c r="S92" s="1292"/>
      <c r="T92" s="1292"/>
      <c r="U92" s="1292"/>
      <c r="V92" s="1292"/>
      <c r="W92" s="1292"/>
      <c r="X92" s="1292"/>
      <c r="Y92" s="1292"/>
      <c r="Z92" s="1292"/>
      <c r="AA92" s="1292"/>
      <c r="AB92" s="1571"/>
      <c r="AC92" s="1570"/>
    </row>
    <row r="93" spans="1:29" ht="13.5" customHeight="1">
      <c r="A93" s="1306"/>
      <c r="B93" s="1305"/>
      <c r="C93" s="1572"/>
      <c r="D93" s="1303"/>
      <c r="E93" s="1293"/>
      <c r="F93" s="1292"/>
      <c r="G93" s="1292"/>
      <c r="H93" s="1292"/>
      <c r="I93" s="1292"/>
      <c r="J93" s="1292"/>
      <c r="K93" s="1292"/>
      <c r="L93" s="1292"/>
      <c r="M93" s="1292"/>
      <c r="N93" s="1292"/>
      <c r="O93" s="1292"/>
      <c r="P93" s="1292"/>
      <c r="Q93" s="1292"/>
      <c r="R93" s="1292"/>
      <c r="S93" s="1292"/>
      <c r="T93" s="1292"/>
      <c r="U93" s="1292"/>
      <c r="V93" s="1292"/>
      <c r="W93" s="1292"/>
      <c r="X93" s="1292"/>
      <c r="Y93" s="1292"/>
      <c r="Z93" s="1292"/>
      <c r="AA93" s="1292"/>
      <c r="AB93" s="1571"/>
      <c r="AC93" s="1570"/>
    </row>
    <row r="94" spans="1:29" ht="13.5" customHeight="1">
      <c r="A94" s="1306"/>
      <c r="B94" s="1305"/>
      <c r="C94" s="1572"/>
      <c r="D94" s="1303"/>
      <c r="E94" s="1293"/>
      <c r="F94" s="1292"/>
      <c r="G94" s="1292"/>
      <c r="H94" s="1292"/>
      <c r="I94" s="1292"/>
      <c r="J94" s="1292"/>
      <c r="K94" s="1292"/>
      <c r="L94" s="1292"/>
      <c r="M94" s="1292"/>
      <c r="N94" s="1292"/>
      <c r="O94" s="1292"/>
      <c r="P94" s="1292"/>
      <c r="Q94" s="1292"/>
      <c r="R94" s="1292"/>
      <c r="S94" s="1292"/>
      <c r="T94" s="1292"/>
      <c r="U94" s="1292"/>
      <c r="V94" s="1292"/>
      <c r="W94" s="1292"/>
      <c r="X94" s="1292"/>
      <c r="Y94" s="1292"/>
      <c r="Z94" s="1292"/>
      <c r="AA94" s="1292"/>
      <c r="AB94" s="1571"/>
      <c r="AC94" s="1570"/>
    </row>
    <row r="95" spans="1:29" ht="13.5" customHeight="1">
      <c r="A95" s="1306"/>
      <c r="B95" s="1305"/>
      <c r="C95" s="1572"/>
      <c r="D95" s="1303"/>
      <c r="E95" s="1293"/>
      <c r="F95" s="1292"/>
      <c r="G95" s="1292"/>
      <c r="H95" s="1292"/>
      <c r="I95" s="1292"/>
      <c r="J95" s="1292"/>
      <c r="K95" s="1292"/>
      <c r="L95" s="1292"/>
      <c r="M95" s="1292"/>
      <c r="N95" s="1292"/>
      <c r="O95" s="1292"/>
      <c r="P95" s="1292"/>
      <c r="Q95" s="1292"/>
      <c r="R95" s="1292"/>
      <c r="S95" s="1292"/>
      <c r="T95" s="1292"/>
      <c r="U95" s="1292"/>
      <c r="V95" s="1292"/>
      <c r="W95" s="1292"/>
      <c r="X95" s="1292"/>
      <c r="Y95" s="1292"/>
      <c r="Z95" s="1292"/>
      <c r="AA95" s="1292"/>
      <c r="AB95" s="1571"/>
      <c r="AC95" s="1570"/>
    </row>
    <row r="96" spans="1:29" ht="13.5" customHeight="1">
      <c r="A96" s="1306"/>
      <c r="B96" s="1305"/>
      <c r="C96" s="1572"/>
      <c r="D96" s="1303"/>
      <c r="E96" s="1293"/>
      <c r="F96" s="1292"/>
      <c r="G96" s="1292"/>
      <c r="H96" s="1292"/>
      <c r="I96" s="1292"/>
      <c r="J96" s="1292"/>
      <c r="K96" s="1292"/>
      <c r="L96" s="1292"/>
      <c r="M96" s="1292"/>
      <c r="N96" s="1292"/>
      <c r="O96" s="1292"/>
      <c r="P96" s="1292"/>
      <c r="Q96" s="1292"/>
      <c r="R96" s="1292"/>
      <c r="S96" s="1292"/>
      <c r="T96" s="1292"/>
      <c r="U96" s="1292"/>
      <c r="V96" s="1292"/>
      <c r="W96" s="1292"/>
      <c r="X96" s="1292"/>
      <c r="Y96" s="1292"/>
      <c r="Z96" s="1292"/>
      <c r="AA96" s="1292"/>
      <c r="AB96" s="1571"/>
      <c r="AC96" s="1570"/>
    </row>
    <row r="97" spans="1:29" ht="13.5" customHeight="1">
      <c r="A97" s="1306"/>
      <c r="B97" s="1305"/>
      <c r="C97" s="1572"/>
      <c r="D97" s="1303"/>
      <c r="E97" s="1293"/>
      <c r="F97" s="1292"/>
      <c r="G97" s="1292"/>
      <c r="H97" s="1292"/>
      <c r="I97" s="1292"/>
      <c r="J97" s="1292"/>
      <c r="K97" s="1292"/>
      <c r="L97" s="1292"/>
      <c r="M97" s="1292"/>
      <c r="N97" s="1292"/>
      <c r="O97" s="1292"/>
      <c r="P97" s="1292"/>
      <c r="Q97" s="1292"/>
      <c r="R97" s="1292"/>
      <c r="S97" s="1292"/>
      <c r="T97" s="1292"/>
      <c r="U97" s="1292"/>
      <c r="V97" s="1292"/>
      <c r="W97" s="1292"/>
      <c r="X97" s="1292"/>
      <c r="Y97" s="1292"/>
      <c r="Z97" s="1292"/>
      <c r="AA97" s="1292"/>
      <c r="AB97" s="1571"/>
      <c r="AC97" s="1570"/>
    </row>
    <row r="98" spans="1:29" ht="13.5" customHeight="1">
      <c r="A98" s="1306"/>
      <c r="B98" s="1305"/>
      <c r="C98" s="1572"/>
      <c r="D98" s="1303"/>
      <c r="E98" s="1293"/>
      <c r="F98" s="1292"/>
      <c r="G98" s="1292"/>
      <c r="H98" s="1292"/>
      <c r="I98" s="1292"/>
      <c r="J98" s="1292"/>
      <c r="K98" s="1292"/>
      <c r="L98" s="1292"/>
      <c r="M98" s="1292"/>
      <c r="N98" s="1292"/>
      <c r="O98" s="1292"/>
      <c r="P98" s="1292"/>
      <c r="Q98" s="1292"/>
      <c r="R98" s="1292"/>
      <c r="S98" s="1292"/>
      <c r="T98" s="1292"/>
      <c r="U98" s="1292"/>
      <c r="V98" s="1292"/>
      <c r="W98" s="1292"/>
      <c r="X98" s="1292"/>
      <c r="Y98" s="1292"/>
      <c r="Z98" s="1292"/>
      <c r="AA98" s="1292"/>
      <c r="AB98" s="1571"/>
      <c r="AC98" s="1570"/>
    </row>
    <row r="99" spans="1:29" ht="13.5" customHeight="1">
      <c r="A99" s="1306"/>
      <c r="B99" s="1305"/>
      <c r="C99" s="1572"/>
      <c r="D99" s="1303"/>
      <c r="E99" s="1293"/>
      <c r="F99" s="1292"/>
      <c r="G99" s="1292"/>
      <c r="H99" s="1292"/>
      <c r="I99" s="1292"/>
      <c r="J99" s="1292"/>
      <c r="K99" s="1292"/>
      <c r="L99" s="1292"/>
      <c r="M99" s="1292"/>
      <c r="N99" s="1292"/>
      <c r="O99" s="1292"/>
      <c r="P99" s="1292"/>
      <c r="Q99" s="1292"/>
      <c r="R99" s="1292"/>
      <c r="S99" s="1292"/>
      <c r="T99" s="1292"/>
      <c r="U99" s="1292"/>
      <c r="V99" s="1292"/>
      <c r="W99" s="1292"/>
      <c r="X99" s="1292"/>
      <c r="Y99" s="1292"/>
      <c r="Z99" s="1292"/>
      <c r="AA99" s="1292"/>
      <c r="AB99" s="1571"/>
      <c r="AC99" s="1570"/>
    </row>
    <row r="100" spans="1:29" ht="13.5" customHeight="1">
      <c r="A100" s="1306"/>
      <c r="B100" s="1305"/>
      <c r="C100" s="1572"/>
      <c r="D100" s="1303"/>
      <c r="E100" s="1293"/>
      <c r="F100" s="1292"/>
      <c r="G100" s="1292"/>
      <c r="H100" s="1292"/>
      <c r="I100" s="1292"/>
      <c r="J100" s="1292"/>
      <c r="K100" s="1292"/>
      <c r="L100" s="1292"/>
      <c r="M100" s="1292"/>
      <c r="N100" s="1292"/>
      <c r="O100" s="1292"/>
      <c r="P100" s="1292"/>
      <c r="Q100" s="1292"/>
      <c r="R100" s="1292"/>
      <c r="S100" s="1292"/>
      <c r="T100" s="1292"/>
      <c r="U100" s="1292"/>
      <c r="V100" s="1292"/>
      <c r="W100" s="1292"/>
      <c r="X100" s="1292"/>
      <c r="Y100" s="1292"/>
      <c r="Z100" s="1292"/>
      <c r="AA100" s="1292"/>
      <c r="AB100" s="1571"/>
      <c r="AC100" s="1570"/>
    </row>
    <row r="101" spans="1:29" ht="13.5" customHeight="1">
      <c r="A101" s="1306"/>
      <c r="B101" s="1305"/>
      <c r="C101" s="1572"/>
      <c r="D101" s="1303"/>
      <c r="E101" s="1293"/>
      <c r="F101" s="1292"/>
      <c r="G101" s="1292"/>
      <c r="H101" s="1292"/>
      <c r="I101" s="1292"/>
      <c r="J101" s="1292"/>
      <c r="K101" s="1292"/>
      <c r="L101" s="1292"/>
      <c r="M101" s="1292"/>
      <c r="N101" s="1292"/>
      <c r="O101" s="1292"/>
      <c r="P101" s="1292"/>
      <c r="Q101" s="1292"/>
      <c r="R101" s="1292"/>
      <c r="S101" s="1292"/>
      <c r="T101" s="1292"/>
      <c r="U101" s="1292"/>
      <c r="V101" s="1292"/>
      <c r="W101" s="1292"/>
      <c r="X101" s="1292"/>
      <c r="Y101" s="1292"/>
      <c r="Z101" s="1292"/>
      <c r="AA101" s="1292"/>
      <c r="AB101" s="1571"/>
      <c r="AC101" s="1570"/>
    </row>
    <row r="102" spans="1:29" ht="13.5" customHeight="1">
      <c r="A102" s="1306"/>
      <c r="B102" s="1305"/>
      <c r="C102" s="1572"/>
      <c r="D102" s="1303"/>
      <c r="E102" s="1293"/>
      <c r="F102" s="1292"/>
      <c r="G102" s="1292"/>
      <c r="H102" s="1292"/>
      <c r="I102" s="1292"/>
      <c r="J102" s="1292"/>
      <c r="K102" s="1292"/>
      <c r="L102" s="1292"/>
      <c r="M102" s="1292"/>
      <c r="N102" s="1292"/>
      <c r="O102" s="1292"/>
      <c r="P102" s="1292"/>
      <c r="Q102" s="1292"/>
      <c r="R102" s="1292"/>
      <c r="S102" s="1292"/>
      <c r="T102" s="1292"/>
      <c r="U102" s="1292"/>
      <c r="V102" s="1292"/>
      <c r="W102" s="1292"/>
      <c r="X102" s="1292"/>
      <c r="Y102" s="1292"/>
      <c r="Z102" s="1292"/>
      <c r="AA102" s="1292"/>
      <c r="AB102" s="1571"/>
      <c r="AC102" s="1570"/>
    </row>
    <row r="103" spans="1:29" ht="13.5" customHeight="1">
      <c r="A103" s="1306"/>
      <c r="B103" s="1305"/>
      <c r="C103" s="1572"/>
      <c r="D103" s="1303"/>
      <c r="E103" s="1293"/>
      <c r="F103" s="1292"/>
      <c r="G103" s="1292"/>
      <c r="H103" s="1292"/>
      <c r="I103" s="1292"/>
      <c r="J103" s="1292"/>
      <c r="K103" s="1292"/>
      <c r="L103" s="1292"/>
      <c r="M103" s="1292"/>
      <c r="N103" s="1292"/>
      <c r="O103" s="1292"/>
      <c r="P103" s="1292"/>
      <c r="Q103" s="1292"/>
      <c r="R103" s="1292"/>
      <c r="S103" s="1292"/>
      <c r="T103" s="1292"/>
      <c r="U103" s="1292"/>
      <c r="V103" s="1292"/>
      <c r="W103" s="1292"/>
      <c r="X103" s="1292"/>
      <c r="Y103" s="1292"/>
      <c r="Z103" s="1292"/>
      <c r="AA103" s="1292"/>
      <c r="AB103" s="1571"/>
      <c r="AC103" s="1570"/>
    </row>
    <row r="104" spans="1:29" ht="13.5" customHeight="1">
      <c r="A104" s="1306"/>
      <c r="B104" s="1305"/>
      <c r="C104" s="1572"/>
      <c r="D104" s="1303"/>
      <c r="E104" s="1293"/>
      <c r="F104" s="1292"/>
      <c r="G104" s="1292"/>
      <c r="H104" s="1292"/>
      <c r="I104" s="1292"/>
      <c r="J104" s="1292"/>
      <c r="K104" s="1292"/>
      <c r="L104" s="1292"/>
      <c r="M104" s="1292"/>
      <c r="N104" s="1292"/>
      <c r="O104" s="1292"/>
      <c r="P104" s="1292"/>
      <c r="Q104" s="1292"/>
      <c r="R104" s="1292"/>
      <c r="S104" s="1292"/>
      <c r="T104" s="1292"/>
      <c r="U104" s="1292"/>
      <c r="V104" s="1292"/>
      <c r="W104" s="1292"/>
      <c r="X104" s="1292"/>
      <c r="Y104" s="1292"/>
      <c r="Z104" s="1292"/>
      <c r="AA104" s="1292"/>
      <c r="AB104" s="1571"/>
      <c r="AC104" s="1570"/>
    </row>
    <row r="105" spans="1:29" ht="13.5" customHeight="1" thickBot="1">
      <c r="A105" s="1409"/>
      <c r="B105" s="1410"/>
      <c r="C105" s="1594"/>
      <c r="D105" s="1412"/>
      <c r="E105" s="1416"/>
      <c r="F105" s="1417"/>
      <c r="G105" s="1417"/>
      <c r="H105" s="1417"/>
      <c r="I105" s="1417"/>
      <c r="J105" s="1417"/>
      <c r="K105" s="1417"/>
      <c r="L105" s="1417"/>
      <c r="M105" s="1417"/>
      <c r="N105" s="1417"/>
      <c r="O105" s="1417"/>
      <c r="P105" s="1417"/>
      <c r="Q105" s="1417"/>
      <c r="R105" s="1417"/>
      <c r="S105" s="1417"/>
      <c r="T105" s="1417"/>
      <c r="U105" s="1417"/>
      <c r="V105" s="1417"/>
      <c r="W105" s="1417"/>
      <c r="X105" s="1417"/>
      <c r="Y105" s="1417"/>
      <c r="Z105" s="1417"/>
      <c r="AA105" s="1417"/>
      <c r="AB105" s="1595"/>
      <c r="AC105" s="1596"/>
    </row>
    <row r="106" spans="1:29" ht="18.95" customHeight="1" thickTop="1" thickBot="1">
      <c r="A106" s="1649" t="s">
        <v>821</v>
      </c>
      <c r="B106" s="1650"/>
      <c r="C106" s="1651"/>
      <c r="D106" s="1652">
        <v>134.5</v>
      </c>
      <c r="E106" s="1653">
        <v>0</v>
      </c>
      <c r="F106" s="1654">
        <v>0</v>
      </c>
      <c r="G106" s="1654">
        <v>0</v>
      </c>
      <c r="H106" s="1654">
        <v>0</v>
      </c>
      <c r="I106" s="1654">
        <v>0</v>
      </c>
      <c r="J106" s="1654">
        <v>0</v>
      </c>
      <c r="K106" s="1654">
        <v>0</v>
      </c>
      <c r="L106" s="1654">
        <v>0</v>
      </c>
      <c r="M106" s="1654">
        <v>14822</v>
      </c>
      <c r="N106" s="1654">
        <v>14221</v>
      </c>
      <c r="O106" s="1654">
        <v>14664</v>
      </c>
      <c r="P106" s="1654">
        <v>14846</v>
      </c>
      <c r="Q106" s="1655">
        <v>15465</v>
      </c>
      <c r="R106" s="1654">
        <v>15393</v>
      </c>
      <c r="S106" s="1654">
        <v>14986</v>
      </c>
      <c r="T106" s="1654">
        <v>14444</v>
      </c>
      <c r="U106" s="1654">
        <v>13651</v>
      </c>
      <c r="V106" s="1654">
        <v>12910</v>
      </c>
      <c r="W106" s="1654">
        <v>0</v>
      </c>
      <c r="X106" s="1654">
        <v>0</v>
      </c>
      <c r="Y106" s="1654">
        <v>0</v>
      </c>
      <c r="Z106" s="1654">
        <v>0</v>
      </c>
      <c r="AA106" s="1654">
        <v>0</v>
      </c>
      <c r="AB106" s="1654">
        <v>0</v>
      </c>
      <c r="AC106" s="1656"/>
    </row>
    <row r="107" spans="1:29" ht="13.5" customHeight="1" thickTop="1">
      <c r="A107" s="1657" t="s">
        <v>822</v>
      </c>
      <c r="B107" s="1650"/>
      <c r="C107" s="1651"/>
      <c r="D107" s="1658">
        <v>134.5</v>
      </c>
      <c r="E107" s="1659">
        <v>0</v>
      </c>
      <c r="F107" s="1660">
        <v>0</v>
      </c>
      <c r="G107" s="1660">
        <v>0</v>
      </c>
      <c r="H107" s="1660">
        <v>0</v>
      </c>
      <c r="I107" s="1660">
        <v>0</v>
      </c>
      <c r="J107" s="1660">
        <v>0</v>
      </c>
      <c r="K107" s="1660">
        <v>0</v>
      </c>
      <c r="L107" s="1660">
        <v>0</v>
      </c>
      <c r="M107" s="1660">
        <v>15</v>
      </c>
      <c r="N107" s="1660">
        <v>15</v>
      </c>
      <c r="O107" s="1660">
        <v>15</v>
      </c>
      <c r="P107" s="1660">
        <v>15</v>
      </c>
      <c r="Q107" s="1661">
        <v>16</v>
      </c>
      <c r="R107" s="1660">
        <v>16</v>
      </c>
      <c r="S107" s="1660">
        <v>15</v>
      </c>
      <c r="T107" s="1660">
        <v>15</v>
      </c>
      <c r="U107" s="1660">
        <v>14</v>
      </c>
      <c r="V107" s="1660">
        <v>13</v>
      </c>
      <c r="W107" s="1660">
        <v>0</v>
      </c>
      <c r="X107" s="1660">
        <v>0</v>
      </c>
      <c r="Y107" s="1660">
        <v>0</v>
      </c>
      <c r="Z107" s="1660">
        <v>0</v>
      </c>
      <c r="AA107" s="1660">
        <v>0</v>
      </c>
      <c r="AB107" s="1660">
        <v>0</v>
      </c>
      <c r="AC107" s="1662"/>
    </row>
    <row r="108" spans="1:29" ht="13.5" customHeight="1">
      <c r="A108" s="1663" t="s">
        <v>823</v>
      </c>
      <c r="B108" s="1593"/>
      <c r="C108" s="1664"/>
      <c r="D108" s="1665">
        <v>134.5</v>
      </c>
      <c r="E108" s="1666">
        <v>0</v>
      </c>
      <c r="F108" s="1667">
        <v>0</v>
      </c>
      <c r="G108" s="1667">
        <v>0</v>
      </c>
      <c r="H108" s="1667">
        <v>0</v>
      </c>
      <c r="I108" s="1667">
        <v>0</v>
      </c>
      <c r="J108" s="1667">
        <v>0</v>
      </c>
      <c r="K108" s="1667">
        <v>0</v>
      </c>
      <c r="L108" s="1667">
        <v>0</v>
      </c>
      <c r="M108" s="1667">
        <v>110</v>
      </c>
      <c r="N108" s="1667">
        <v>106</v>
      </c>
      <c r="O108" s="1667">
        <v>109</v>
      </c>
      <c r="P108" s="1667">
        <v>110</v>
      </c>
      <c r="Q108" s="1669">
        <v>115</v>
      </c>
      <c r="R108" s="1667">
        <v>114</v>
      </c>
      <c r="S108" s="1667">
        <v>111</v>
      </c>
      <c r="T108" s="1667">
        <v>107</v>
      </c>
      <c r="U108" s="1667">
        <v>101</v>
      </c>
      <c r="V108" s="1667">
        <v>96</v>
      </c>
      <c r="W108" s="1667">
        <v>0</v>
      </c>
      <c r="X108" s="1667">
        <v>0</v>
      </c>
      <c r="Y108" s="1667">
        <v>0</v>
      </c>
      <c r="Z108" s="1667">
        <v>0</v>
      </c>
      <c r="AA108" s="1667">
        <v>0</v>
      </c>
      <c r="AB108" s="1667">
        <v>0</v>
      </c>
      <c r="AC108" s="1668"/>
    </row>
    <row r="115" spans="3:26" s="1276" customFormat="1" ht="13.5" customHeight="1">
      <c r="C115" s="1283"/>
      <c r="D115" s="1283"/>
      <c r="E115" s="1283"/>
      <c r="G115" s="1280"/>
      <c r="K115" s="1280"/>
      <c r="N115" s="1280"/>
      <c r="Q115" s="1280"/>
      <c r="S115" s="1280"/>
      <c r="T115" s="1280"/>
      <c r="W115" s="1280"/>
      <c r="Z115" s="1280"/>
    </row>
    <row r="116" spans="3:26" s="1276" customFormat="1" ht="13.5" customHeight="1">
      <c r="C116" s="1283"/>
      <c r="D116" s="1283"/>
      <c r="E116" s="1283"/>
      <c r="F116" s="1284"/>
      <c r="G116" s="1280"/>
      <c r="J116" s="1284"/>
      <c r="K116" s="1280"/>
      <c r="N116" s="1280"/>
      <c r="P116" s="1284"/>
      <c r="Q116" s="1280"/>
      <c r="S116" s="1280"/>
      <c r="T116" s="1280"/>
      <c r="V116" s="1284"/>
      <c r="W116" s="1280"/>
      <c r="Z116" s="1280"/>
    </row>
    <row r="117" spans="3:26" s="1276" customFormat="1" ht="13.5" customHeight="1">
      <c r="C117" s="1283"/>
      <c r="D117" s="1283"/>
      <c r="E117" s="1283"/>
      <c r="F117" s="1282"/>
      <c r="G117" s="1280"/>
      <c r="J117" s="1282"/>
      <c r="K117" s="1280"/>
      <c r="N117" s="1280"/>
      <c r="P117" s="1282"/>
      <c r="Q117" s="1280"/>
      <c r="S117" s="1280"/>
      <c r="T117" s="1280"/>
      <c r="V117" s="1282"/>
      <c r="W117" s="1280"/>
      <c r="Z117" s="1280"/>
    </row>
    <row r="118" spans="3:26" s="1276" customFormat="1" ht="13.5" customHeight="1">
      <c r="C118" s="1281"/>
      <c r="D118" s="1281"/>
      <c r="E118" s="1281"/>
      <c r="F118" s="1280"/>
      <c r="J118" s="1280"/>
      <c r="P118" s="1280"/>
      <c r="V118" s="1280"/>
    </row>
  </sheetData>
  <mergeCells count="39">
    <mergeCell ref="A108:C108"/>
    <mergeCell ref="A65:C65"/>
    <mergeCell ref="A25:C25"/>
    <mergeCell ref="A46:C46"/>
    <mergeCell ref="A67:C67"/>
    <mergeCell ref="A106:C106"/>
    <mergeCell ref="A107:C107"/>
    <mergeCell ref="C63:D63"/>
    <mergeCell ref="C22:D22"/>
    <mergeCell ref="C43:D43"/>
    <mergeCell ref="C64:D64"/>
    <mergeCell ref="A23:C23"/>
    <mergeCell ref="A44:C44"/>
    <mergeCell ref="A56:C56"/>
    <mergeCell ref="A16:C16"/>
    <mergeCell ref="A37:C37"/>
    <mergeCell ref="A58:C58"/>
    <mergeCell ref="C21:D21"/>
    <mergeCell ref="C42:D42"/>
    <mergeCell ref="C54:D54"/>
    <mergeCell ref="C13:D13"/>
    <mergeCell ref="C34:D34"/>
    <mergeCell ref="C55:D55"/>
    <mergeCell ref="A14:C14"/>
    <mergeCell ref="A35:C35"/>
    <mergeCell ref="A6:AC6"/>
    <mergeCell ref="A27:AC27"/>
    <mergeCell ref="A48:AC48"/>
    <mergeCell ref="A7:C7"/>
    <mergeCell ref="A28:C28"/>
    <mergeCell ref="A49:C49"/>
    <mergeCell ref="C12:D12"/>
    <mergeCell ref="C33:D33"/>
    <mergeCell ref="A4:A5"/>
    <mergeCell ref="B4:B5"/>
    <mergeCell ref="C4:C5"/>
    <mergeCell ref="D4:D5"/>
    <mergeCell ref="E4:AB4"/>
    <mergeCell ref="AC4:AC5"/>
  </mergeCells>
  <phoneticPr fontId="3"/>
  <pageMargins left="0.39370078740157483" right="0.39370078740157483" top="0.78740157480314965" bottom="0.55118110236220474" header="0.31496062992125984" footer="0.31496062992125984"/>
  <pageSetup paperSize="9" scale="54" fitToHeight="0" orientation="landscape" horizontalDpi="1200" verticalDpi="1200" r:id="rId1"/>
  <headerFooter scaleWithDoc="0">
    <oddFooter>&amp;C&amp;"ＭＳ Ｐゴシック,標準"&amp;9( &amp;P / &amp;N )</oddFooter>
  </headerFooter>
  <rowBreaks count="1" manualBreakCount="1">
    <brk id="5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28" width="7.7109375" style="1276" customWidth="1"/>
    <col min="29" max="29" width="14.7109375" style="1276" customWidth="1"/>
    <col min="30" max="16384" width="9.140625" style="1272"/>
  </cols>
  <sheetData>
    <row r="1" spans="1:29" s="1581" customFormat="1" ht="30" customHeight="1">
      <c r="A1" s="1589" t="s">
        <v>825</v>
      </c>
      <c r="B1" s="1588"/>
      <c r="C1" s="1587"/>
      <c r="D1" s="1586"/>
      <c r="E1" s="1585"/>
      <c r="F1" s="1585"/>
      <c r="G1" s="1585"/>
      <c r="H1" s="1584"/>
      <c r="I1" s="1584"/>
      <c r="J1" s="1585"/>
      <c r="K1" s="1585"/>
      <c r="L1" s="1584"/>
      <c r="M1" s="1584"/>
      <c r="N1" s="1585"/>
      <c r="O1" s="1584"/>
      <c r="P1" s="1585"/>
      <c r="Q1" s="1585"/>
      <c r="R1" s="1584"/>
      <c r="S1" s="1585"/>
      <c r="T1" s="1585"/>
      <c r="U1" s="1584"/>
      <c r="V1" s="1585"/>
      <c r="W1" s="1585"/>
      <c r="X1" s="1584"/>
      <c r="Y1" s="1584"/>
      <c r="Z1" s="1585"/>
      <c r="AA1" s="1584"/>
      <c r="AB1" s="1583"/>
      <c r="AC1" s="1582"/>
    </row>
    <row r="4" spans="1:29" ht="13.5" customHeight="1">
      <c r="A4" s="1380" t="s">
        <v>372</v>
      </c>
      <c r="B4" s="1379" t="s">
        <v>358</v>
      </c>
      <c r="C4" s="1544" t="s">
        <v>631</v>
      </c>
      <c r="D4" s="1580" t="s">
        <v>810</v>
      </c>
      <c r="E4" s="1579" t="s">
        <v>824</v>
      </c>
      <c r="F4" s="1578"/>
      <c r="G4" s="1578"/>
      <c r="H4" s="1578"/>
      <c r="I4" s="1578"/>
      <c r="J4" s="1578"/>
      <c r="K4" s="1578"/>
      <c r="L4" s="1578"/>
      <c r="M4" s="1578"/>
      <c r="N4" s="1578"/>
      <c r="O4" s="1578"/>
      <c r="P4" s="1578"/>
      <c r="Q4" s="1578"/>
      <c r="R4" s="1578"/>
      <c r="S4" s="1578"/>
      <c r="T4" s="1578"/>
      <c r="U4" s="1578"/>
      <c r="V4" s="1578"/>
      <c r="W4" s="1578"/>
      <c r="X4" s="1578"/>
      <c r="Y4" s="1578"/>
      <c r="Z4" s="1578"/>
      <c r="AA4" s="1578"/>
      <c r="AB4" s="1577"/>
      <c r="AC4" s="1576" t="s">
        <v>797</v>
      </c>
    </row>
    <row r="5" spans="1:29" ht="13.5" customHeight="1">
      <c r="A5" s="1348"/>
      <c r="B5" s="1347"/>
      <c r="C5" s="1537"/>
      <c r="D5" s="1590"/>
      <c r="E5" s="1575">
        <v>1</v>
      </c>
      <c r="F5" s="1574">
        <v>2</v>
      </c>
      <c r="G5" s="1574">
        <v>3</v>
      </c>
      <c r="H5" s="1574">
        <v>4</v>
      </c>
      <c r="I5" s="1574">
        <v>5</v>
      </c>
      <c r="J5" s="1574">
        <v>6</v>
      </c>
      <c r="K5" s="1574">
        <v>7</v>
      </c>
      <c r="L5" s="1574">
        <v>8</v>
      </c>
      <c r="M5" s="1574">
        <v>9</v>
      </c>
      <c r="N5" s="1574">
        <v>10</v>
      </c>
      <c r="O5" s="1574">
        <v>11</v>
      </c>
      <c r="P5" s="1574">
        <v>12</v>
      </c>
      <c r="Q5" s="1574">
        <v>13</v>
      </c>
      <c r="R5" s="1574">
        <v>14</v>
      </c>
      <c r="S5" s="1574">
        <v>15</v>
      </c>
      <c r="T5" s="1574">
        <v>16</v>
      </c>
      <c r="U5" s="1574">
        <v>17</v>
      </c>
      <c r="V5" s="1574">
        <v>18</v>
      </c>
      <c r="W5" s="1574">
        <v>19</v>
      </c>
      <c r="X5" s="1574">
        <v>20</v>
      </c>
      <c r="Y5" s="1574">
        <v>21</v>
      </c>
      <c r="Z5" s="1574">
        <v>22</v>
      </c>
      <c r="AA5" s="1574">
        <v>23</v>
      </c>
      <c r="AB5" s="1573">
        <v>24</v>
      </c>
      <c r="AC5" s="1591"/>
    </row>
    <row r="6" spans="1:29" ht="13.5" customHeight="1">
      <c r="A6" s="1597" t="s">
        <v>382</v>
      </c>
      <c r="B6" s="1598"/>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9"/>
    </row>
    <row r="7" spans="1:29" ht="13.5" customHeight="1">
      <c r="A7" s="1670" t="s">
        <v>812</v>
      </c>
      <c r="B7" s="1671"/>
      <c r="C7" s="1672"/>
      <c r="D7" s="1673"/>
      <c r="E7" s="1674"/>
      <c r="F7" s="1675"/>
      <c r="G7" s="1675"/>
      <c r="H7" s="1675"/>
      <c r="I7" s="1675"/>
      <c r="J7" s="1675"/>
      <c r="K7" s="1675"/>
      <c r="L7" s="1675"/>
      <c r="M7" s="1675"/>
      <c r="N7" s="1675"/>
      <c r="O7" s="1675"/>
      <c r="P7" s="1675"/>
      <c r="Q7" s="1675"/>
      <c r="R7" s="1675"/>
      <c r="S7" s="1675"/>
      <c r="T7" s="1675"/>
      <c r="U7" s="1675"/>
      <c r="V7" s="1675"/>
      <c r="W7" s="1675"/>
      <c r="X7" s="1675"/>
      <c r="Y7" s="1675"/>
      <c r="Z7" s="1675"/>
      <c r="AA7" s="1675"/>
      <c r="AB7" s="1676"/>
      <c r="AC7" s="1677"/>
    </row>
    <row r="8" spans="1:29" ht="13.5" customHeight="1" thickBot="1">
      <c r="A8" s="1678"/>
      <c r="B8" s="1679"/>
      <c r="C8" s="1680" t="s">
        <v>826</v>
      </c>
      <c r="D8" s="1681"/>
      <c r="E8" s="1682">
        <v>0</v>
      </c>
      <c r="F8" s="1683">
        <v>0</v>
      </c>
      <c r="G8" s="1683">
        <v>0</v>
      </c>
      <c r="H8" s="1683">
        <v>0</v>
      </c>
      <c r="I8" s="1683">
        <v>0</v>
      </c>
      <c r="J8" s="1683">
        <v>0</v>
      </c>
      <c r="K8" s="1683">
        <v>0</v>
      </c>
      <c r="L8" s="1683">
        <v>0</v>
      </c>
      <c r="M8" s="1683">
        <v>2674</v>
      </c>
      <c r="N8" s="1683">
        <v>2674</v>
      </c>
      <c r="O8" s="1683">
        <v>2674</v>
      </c>
      <c r="P8" s="1683">
        <v>2674</v>
      </c>
      <c r="Q8" s="1683">
        <v>2674</v>
      </c>
      <c r="R8" s="1683">
        <v>2674</v>
      </c>
      <c r="S8" s="1683">
        <v>2674</v>
      </c>
      <c r="T8" s="1683">
        <v>2674</v>
      </c>
      <c r="U8" s="1683">
        <v>2674</v>
      </c>
      <c r="V8" s="1683">
        <v>2674</v>
      </c>
      <c r="W8" s="1683">
        <v>0</v>
      </c>
      <c r="X8" s="1683">
        <v>0</v>
      </c>
      <c r="Y8" s="1683">
        <v>0</v>
      </c>
      <c r="Z8" s="1683">
        <v>0</v>
      </c>
      <c r="AA8" s="1683">
        <v>0</v>
      </c>
      <c r="AB8" s="1683">
        <v>0</v>
      </c>
      <c r="AC8" s="1684"/>
    </row>
    <row r="9" spans="1:29" ht="13.5" customHeight="1" thickTop="1">
      <c r="A9" s="1622" t="s">
        <v>815</v>
      </c>
      <c r="B9" s="1568"/>
      <c r="C9" s="1569"/>
      <c r="D9" s="1623">
        <v>134.5</v>
      </c>
      <c r="E9" s="1619">
        <v>0</v>
      </c>
      <c r="F9" s="1620">
        <v>0</v>
      </c>
      <c r="G9" s="1620">
        <v>0</v>
      </c>
      <c r="H9" s="1620">
        <v>0</v>
      </c>
      <c r="I9" s="1620">
        <v>0</v>
      </c>
      <c r="J9" s="1620">
        <v>0</v>
      </c>
      <c r="K9" s="1620">
        <v>0</v>
      </c>
      <c r="L9" s="1620">
        <v>0</v>
      </c>
      <c r="M9" s="1620">
        <v>2674</v>
      </c>
      <c r="N9" s="1620">
        <v>2674</v>
      </c>
      <c r="O9" s="1620">
        <v>2674</v>
      </c>
      <c r="P9" s="1620">
        <v>2674</v>
      </c>
      <c r="Q9" s="1620">
        <v>2674</v>
      </c>
      <c r="R9" s="1620">
        <v>2674</v>
      </c>
      <c r="S9" s="1620">
        <v>2674</v>
      </c>
      <c r="T9" s="1620">
        <v>2674</v>
      </c>
      <c r="U9" s="1620">
        <v>2674</v>
      </c>
      <c r="V9" s="1620">
        <v>2674</v>
      </c>
      <c r="W9" s="1620">
        <v>0</v>
      </c>
      <c r="X9" s="1620">
        <v>0</v>
      </c>
      <c r="Y9" s="1620">
        <v>0</v>
      </c>
      <c r="Z9" s="1620">
        <v>0</v>
      </c>
      <c r="AA9" s="1620">
        <v>0</v>
      </c>
      <c r="AB9" s="1620">
        <v>0</v>
      </c>
      <c r="AC9" s="1621"/>
    </row>
    <row r="10" spans="1:29" ht="13.5" customHeight="1" thickBot="1">
      <c r="A10" s="1409"/>
      <c r="B10" s="1410"/>
      <c r="C10" s="1630"/>
      <c r="D10" s="1412"/>
      <c r="E10" s="1416"/>
      <c r="F10" s="1417"/>
      <c r="G10" s="1417"/>
      <c r="H10" s="1417"/>
      <c r="I10" s="1417"/>
      <c r="J10" s="1417"/>
      <c r="K10" s="1417"/>
      <c r="L10" s="1417"/>
      <c r="M10" s="1417"/>
      <c r="N10" s="1417"/>
      <c r="O10" s="1417"/>
      <c r="P10" s="1417"/>
      <c r="Q10" s="1417"/>
      <c r="R10" s="1417"/>
      <c r="S10" s="1417"/>
      <c r="T10" s="1417"/>
      <c r="U10" s="1417"/>
      <c r="V10" s="1417"/>
      <c r="W10" s="1417"/>
      <c r="X10" s="1417"/>
      <c r="Y10" s="1417"/>
      <c r="Z10" s="1417"/>
      <c r="AA10" s="1417"/>
      <c r="AB10" s="1595"/>
      <c r="AC10" s="1596"/>
    </row>
    <row r="11" spans="1:29" ht="13.5" customHeight="1" thickTop="1">
      <c r="A11" s="1635" t="s">
        <v>818</v>
      </c>
      <c r="B11" s="1636"/>
      <c r="C11" s="1636"/>
      <c r="D11" s="1631">
        <v>134.5</v>
      </c>
      <c r="E11" s="1632">
        <v>0</v>
      </c>
      <c r="F11" s="1633">
        <v>0</v>
      </c>
      <c r="G11" s="1633">
        <v>0</v>
      </c>
      <c r="H11" s="1633">
        <v>0</v>
      </c>
      <c r="I11" s="1633">
        <v>0</v>
      </c>
      <c r="J11" s="1633">
        <v>0</v>
      </c>
      <c r="K11" s="1633">
        <v>0</v>
      </c>
      <c r="L11" s="1633">
        <v>0</v>
      </c>
      <c r="M11" s="1633">
        <v>2674</v>
      </c>
      <c r="N11" s="1633">
        <v>2674</v>
      </c>
      <c r="O11" s="1633">
        <v>2674</v>
      </c>
      <c r="P11" s="1633">
        <v>2674</v>
      </c>
      <c r="Q11" s="1633">
        <v>2674</v>
      </c>
      <c r="R11" s="1633">
        <v>2674</v>
      </c>
      <c r="S11" s="1633">
        <v>2674</v>
      </c>
      <c r="T11" s="1633">
        <v>2674</v>
      </c>
      <c r="U11" s="1633">
        <v>2674</v>
      </c>
      <c r="V11" s="1633">
        <v>2674</v>
      </c>
      <c r="W11" s="1633">
        <v>0</v>
      </c>
      <c r="X11" s="1633">
        <v>0</v>
      </c>
      <c r="Y11" s="1633">
        <v>0</v>
      </c>
      <c r="Z11" s="1633">
        <v>0</v>
      </c>
      <c r="AA11" s="1633">
        <v>0</v>
      </c>
      <c r="AB11" s="1633">
        <v>0</v>
      </c>
      <c r="AC11" s="1634"/>
    </row>
    <row r="12" spans="1:29" ht="13.5" customHeight="1">
      <c r="A12" s="1409"/>
      <c r="B12" s="1410"/>
      <c r="C12" s="1630"/>
      <c r="D12" s="1412"/>
      <c r="E12" s="1416"/>
      <c r="F12" s="1417"/>
      <c r="G12" s="1417"/>
      <c r="H12" s="1417"/>
      <c r="I12" s="1417"/>
      <c r="J12" s="1417"/>
      <c r="K12" s="1417"/>
      <c r="L12" s="1417"/>
      <c r="M12" s="1417"/>
      <c r="N12" s="1417"/>
      <c r="O12" s="1417"/>
      <c r="P12" s="1417"/>
      <c r="Q12" s="1417"/>
      <c r="R12" s="1417"/>
      <c r="S12" s="1417"/>
      <c r="T12" s="1417"/>
      <c r="U12" s="1417"/>
      <c r="V12" s="1417"/>
      <c r="W12" s="1417"/>
      <c r="X12" s="1417"/>
      <c r="Y12" s="1417"/>
      <c r="Z12" s="1417"/>
      <c r="AA12" s="1417"/>
      <c r="AB12" s="1595"/>
      <c r="AC12" s="1596"/>
    </row>
    <row r="13" spans="1:29" ht="13.5" customHeight="1">
      <c r="A13" s="1609" t="s">
        <v>384</v>
      </c>
      <c r="B13" s="1598"/>
      <c r="C13" s="1598"/>
      <c r="D13" s="1598"/>
      <c r="E13" s="1598"/>
      <c r="F13" s="1598"/>
      <c r="G13" s="1598"/>
      <c r="H13" s="1598"/>
      <c r="I13" s="1598"/>
      <c r="J13" s="1598"/>
      <c r="K13" s="1598"/>
      <c r="L13" s="1598"/>
      <c r="M13" s="1598"/>
      <c r="N13" s="1598"/>
      <c r="O13" s="1598"/>
      <c r="P13" s="1598"/>
      <c r="Q13" s="1598"/>
      <c r="R13" s="1598"/>
      <c r="S13" s="1598"/>
      <c r="T13" s="1598"/>
      <c r="U13" s="1598"/>
      <c r="V13" s="1598"/>
      <c r="W13" s="1598"/>
      <c r="X13" s="1598"/>
      <c r="Y13" s="1598"/>
      <c r="Z13" s="1598"/>
      <c r="AA13" s="1598"/>
      <c r="AB13" s="1598"/>
      <c r="AC13" s="1599"/>
    </row>
    <row r="14" spans="1:29" ht="13.5" customHeight="1">
      <c r="A14" s="1670" t="s">
        <v>812</v>
      </c>
      <c r="B14" s="1671"/>
      <c r="C14" s="1672"/>
      <c r="D14" s="1673"/>
      <c r="E14" s="1674"/>
      <c r="F14" s="1675"/>
      <c r="G14" s="1675"/>
      <c r="H14" s="1675"/>
      <c r="I14" s="1675"/>
      <c r="J14" s="1675"/>
      <c r="K14" s="1675"/>
      <c r="L14" s="1675"/>
      <c r="M14" s="1675"/>
      <c r="N14" s="1675"/>
      <c r="O14" s="1675"/>
      <c r="P14" s="1675"/>
      <c r="Q14" s="1675"/>
      <c r="R14" s="1675"/>
      <c r="S14" s="1675"/>
      <c r="T14" s="1675"/>
      <c r="U14" s="1675"/>
      <c r="V14" s="1675"/>
      <c r="W14" s="1675"/>
      <c r="X14" s="1675"/>
      <c r="Y14" s="1675"/>
      <c r="Z14" s="1675"/>
      <c r="AA14" s="1675"/>
      <c r="AB14" s="1676"/>
      <c r="AC14" s="1677"/>
    </row>
    <row r="15" spans="1:29" ht="13.5" customHeight="1" thickBot="1">
      <c r="A15" s="1678"/>
      <c r="B15" s="1679"/>
      <c r="C15" s="1680" t="s">
        <v>826</v>
      </c>
      <c r="D15" s="1681"/>
      <c r="E15" s="1682">
        <v>0</v>
      </c>
      <c r="F15" s="1683">
        <v>0</v>
      </c>
      <c r="G15" s="1683">
        <v>0</v>
      </c>
      <c r="H15" s="1683">
        <v>0</v>
      </c>
      <c r="I15" s="1683">
        <v>0</v>
      </c>
      <c r="J15" s="1683">
        <v>0</v>
      </c>
      <c r="K15" s="1683">
        <v>0</v>
      </c>
      <c r="L15" s="1683">
        <v>0</v>
      </c>
      <c r="M15" s="1683">
        <v>2674</v>
      </c>
      <c r="N15" s="1683">
        <v>2674</v>
      </c>
      <c r="O15" s="1683">
        <v>2674</v>
      </c>
      <c r="P15" s="1683">
        <v>2674</v>
      </c>
      <c r="Q15" s="1683">
        <v>2674</v>
      </c>
      <c r="R15" s="1683">
        <v>2674</v>
      </c>
      <c r="S15" s="1683">
        <v>2674</v>
      </c>
      <c r="T15" s="1683">
        <v>2674</v>
      </c>
      <c r="U15" s="1683">
        <v>2674</v>
      </c>
      <c r="V15" s="1683">
        <v>2674</v>
      </c>
      <c r="W15" s="1683">
        <v>0</v>
      </c>
      <c r="X15" s="1683">
        <v>0</v>
      </c>
      <c r="Y15" s="1683">
        <v>0</v>
      </c>
      <c r="Z15" s="1683">
        <v>0</v>
      </c>
      <c r="AA15" s="1683">
        <v>0</v>
      </c>
      <c r="AB15" s="1683">
        <v>0</v>
      </c>
      <c r="AC15" s="1684"/>
    </row>
    <row r="16" spans="1:29" ht="13.5" customHeight="1" thickTop="1">
      <c r="A16" s="1622" t="s">
        <v>815</v>
      </c>
      <c r="B16" s="1568"/>
      <c r="C16" s="1569"/>
      <c r="D16" s="1623">
        <v>134.5</v>
      </c>
      <c r="E16" s="1619">
        <v>0</v>
      </c>
      <c r="F16" s="1620">
        <v>0</v>
      </c>
      <c r="G16" s="1620">
        <v>0</v>
      </c>
      <c r="H16" s="1620">
        <v>0</v>
      </c>
      <c r="I16" s="1620">
        <v>0</v>
      </c>
      <c r="J16" s="1620">
        <v>0</v>
      </c>
      <c r="K16" s="1620">
        <v>0</v>
      </c>
      <c r="L16" s="1620">
        <v>0</v>
      </c>
      <c r="M16" s="1620">
        <v>2674</v>
      </c>
      <c r="N16" s="1620">
        <v>2674</v>
      </c>
      <c r="O16" s="1620">
        <v>2674</v>
      </c>
      <c r="P16" s="1620">
        <v>2674</v>
      </c>
      <c r="Q16" s="1620">
        <v>2674</v>
      </c>
      <c r="R16" s="1620">
        <v>2674</v>
      </c>
      <c r="S16" s="1620">
        <v>2674</v>
      </c>
      <c r="T16" s="1620">
        <v>2674</v>
      </c>
      <c r="U16" s="1620">
        <v>2674</v>
      </c>
      <c r="V16" s="1620">
        <v>2674</v>
      </c>
      <c r="W16" s="1620">
        <v>0</v>
      </c>
      <c r="X16" s="1620">
        <v>0</v>
      </c>
      <c r="Y16" s="1620">
        <v>0</v>
      </c>
      <c r="Z16" s="1620">
        <v>0</v>
      </c>
      <c r="AA16" s="1620">
        <v>0</v>
      </c>
      <c r="AB16" s="1620">
        <v>0</v>
      </c>
      <c r="AC16" s="1621"/>
    </row>
    <row r="17" spans="1:29" ht="13.5" customHeight="1" thickBot="1">
      <c r="A17" s="1409"/>
      <c r="B17" s="1410"/>
      <c r="C17" s="1630"/>
      <c r="D17" s="1412"/>
      <c r="E17" s="1416"/>
      <c r="F17" s="1417"/>
      <c r="G17" s="1417"/>
      <c r="H17" s="1417"/>
      <c r="I17" s="1417"/>
      <c r="J17" s="1417"/>
      <c r="K17" s="1417"/>
      <c r="L17" s="1417"/>
      <c r="M17" s="1417"/>
      <c r="N17" s="1417"/>
      <c r="O17" s="1417"/>
      <c r="P17" s="1417"/>
      <c r="Q17" s="1417"/>
      <c r="R17" s="1417"/>
      <c r="S17" s="1417"/>
      <c r="T17" s="1417"/>
      <c r="U17" s="1417"/>
      <c r="V17" s="1417"/>
      <c r="W17" s="1417"/>
      <c r="X17" s="1417"/>
      <c r="Y17" s="1417"/>
      <c r="Z17" s="1417"/>
      <c r="AA17" s="1417"/>
      <c r="AB17" s="1595"/>
      <c r="AC17" s="1596"/>
    </row>
    <row r="18" spans="1:29" ht="13.5" customHeight="1" thickTop="1">
      <c r="A18" s="1641" t="s">
        <v>819</v>
      </c>
      <c r="B18" s="1642"/>
      <c r="C18" s="1642"/>
      <c r="D18" s="1637">
        <v>134.5</v>
      </c>
      <c r="E18" s="1638">
        <v>0</v>
      </c>
      <c r="F18" s="1639">
        <v>0</v>
      </c>
      <c r="G18" s="1639">
        <v>0</v>
      </c>
      <c r="H18" s="1639">
        <v>0</v>
      </c>
      <c r="I18" s="1639">
        <v>0</v>
      </c>
      <c r="J18" s="1639">
        <v>0</v>
      </c>
      <c r="K18" s="1639">
        <v>0</v>
      </c>
      <c r="L18" s="1639">
        <v>0</v>
      </c>
      <c r="M18" s="1639">
        <v>2674</v>
      </c>
      <c r="N18" s="1639">
        <v>2674</v>
      </c>
      <c r="O18" s="1639">
        <v>2674</v>
      </c>
      <c r="P18" s="1639">
        <v>2674</v>
      </c>
      <c r="Q18" s="1639">
        <v>2674</v>
      </c>
      <c r="R18" s="1639">
        <v>2674</v>
      </c>
      <c r="S18" s="1639">
        <v>2674</v>
      </c>
      <c r="T18" s="1639">
        <v>2674</v>
      </c>
      <c r="U18" s="1639">
        <v>2674</v>
      </c>
      <c r="V18" s="1639">
        <v>2674</v>
      </c>
      <c r="W18" s="1639">
        <v>0</v>
      </c>
      <c r="X18" s="1639">
        <v>0</v>
      </c>
      <c r="Y18" s="1639">
        <v>0</v>
      </c>
      <c r="Z18" s="1639">
        <v>0</v>
      </c>
      <c r="AA18" s="1639">
        <v>0</v>
      </c>
      <c r="AB18" s="1639">
        <v>0</v>
      </c>
      <c r="AC18" s="1640"/>
    </row>
    <row r="19" spans="1:29" ht="13.5" customHeight="1">
      <c r="A19" s="1409"/>
      <c r="B19" s="1410"/>
      <c r="C19" s="1630"/>
      <c r="D19" s="1412"/>
      <c r="E19" s="1416"/>
      <c r="F19" s="1417"/>
      <c r="G19" s="1417"/>
      <c r="H19" s="1417"/>
      <c r="I19" s="1417"/>
      <c r="J19" s="1417"/>
      <c r="K19" s="1417"/>
      <c r="L19" s="1417"/>
      <c r="M19" s="1417"/>
      <c r="N19" s="1417"/>
      <c r="O19" s="1417"/>
      <c r="P19" s="1417"/>
      <c r="Q19" s="1417"/>
      <c r="R19" s="1417"/>
      <c r="S19" s="1417"/>
      <c r="T19" s="1417"/>
      <c r="U19" s="1417"/>
      <c r="V19" s="1417"/>
      <c r="W19" s="1417"/>
      <c r="X19" s="1417"/>
      <c r="Y19" s="1417"/>
      <c r="Z19" s="1417"/>
      <c r="AA19" s="1417"/>
      <c r="AB19" s="1595"/>
      <c r="AC19" s="1596"/>
    </row>
    <row r="20" spans="1:29" ht="13.5" customHeight="1">
      <c r="A20" s="1610" t="s">
        <v>386</v>
      </c>
      <c r="B20" s="1598"/>
      <c r="C20" s="1598"/>
      <c r="D20" s="1598"/>
      <c r="E20" s="1598"/>
      <c r="F20" s="1598"/>
      <c r="G20" s="1598"/>
      <c r="H20" s="1598"/>
      <c r="I20" s="1598"/>
      <c r="J20" s="1598"/>
      <c r="K20" s="1598"/>
      <c r="L20" s="1598"/>
      <c r="M20" s="1598"/>
      <c r="N20" s="1598"/>
      <c r="O20" s="1598"/>
      <c r="P20" s="1598"/>
      <c r="Q20" s="1598"/>
      <c r="R20" s="1598"/>
      <c r="S20" s="1598"/>
      <c r="T20" s="1598"/>
      <c r="U20" s="1598"/>
      <c r="V20" s="1598"/>
      <c r="W20" s="1598"/>
      <c r="X20" s="1598"/>
      <c r="Y20" s="1598"/>
      <c r="Z20" s="1598"/>
      <c r="AA20" s="1598"/>
      <c r="AB20" s="1598"/>
      <c r="AC20" s="1599"/>
    </row>
    <row r="21" spans="1:29" ht="13.5" customHeight="1">
      <c r="A21" s="1670" t="s">
        <v>812</v>
      </c>
      <c r="B21" s="1671"/>
      <c r="C21" s="1672"/>
      <c r="D21" s="1673"/>
      <c r="E21" s="1674"/>
      <c r="F21" s="1675"/>
      <c r="G21" s="1675"/>
      <c r="H21" s="1675"/>
      <c r="I21" s="1675"/>
      <c r="J21" s="1675"/>
      <c r="K21" s="1675"/>
      <c r="L21" s="1675"/>
      <c r="M21" s="1675"/>
      <c r="N21" s="1675"/>
      <c r="O21" s="1675"/>
      <c r="P21" s="1675"/>
      <c r="Q21" s="1675"/>
      <c r="R21" s="1675"/>
      <c r="S21" s="1675"/>
      <c r="T21" s="1675"/>
      <c r="U21" s="1675"/>
      <c r="V21" s="1675"/>
      <c r="W21" s="1675"/>
      <c r="X21" s="1675"/>
      <c r="Y21" s="1675"/>
      <c r="Z21" s="1675"/>
      <c r="AA21" s="1675"/>
      <c r="AB21" s="1676"/>
      <c r="AC21" s="1677"/>
    </row>
    <row r="22" spans="1:29" ht="13.5" customHeight="1" thickBot="1">
      <c r="A22" s="1678"/>
      <c r="B22" s="1679"/>
      <c r="C22" s="1680" t="s">
        <v>826</v>
      </c>
      <c r="D22" s="1681"/>
      <c r="E22" s="1682">
        <v>0</v>
      </c>
      <c r="F22" s="1683">
        <v>0</v>
      </c>
      <c r="G22" s="1683">
        <v>0</v>
      </c>
      <c r="H22" s="1683">
        <v>0</v>
      </c>
      <c r="I22" s="1683">
        <v>0</v>
      </c>
      <c r="J22" s="1683">
        <v>0</v>
      </c>
      <c r="K22" s="1683">
        <v>0</v>
      </c>
      <c r="L22" s="1683">
        <v>0</v>
      </c>
      <c r="M22" s="1683">
        <v>2674</v>
      </c>
      <c r="N22" s="1683">
        <v>2674</v>
      </c>
      <c r="O22" s="1683">
        <v>2674</v>
      </c>
      <c r="P22" s="1683">
        <v>2674</v>
      </c>
      <c r="Q22" s="1683">
        <v>2674</v>
      </c>
      <c r="R22" s="1683">
        <v>2674</v>
      </c>
      <c r="S22" s="1683">
        <v>2674</v>
      </c>
      <c r="T22" s="1683">
        <v>2674</v>
      </c>
      <c r="U22" s="1683">
        <v>2674</v>
      </c>
      <c r="V22" s="1683">
        <v>2674</v>
      </c>
      <c r="W22" s="1683">
        <v>0</v>
      </c>
      <c r="X22" s="1683">
        <v>0</v>
      </c>
      <c r="Y22" s="1683">
        <v>0</v>
      </c>
      <c r="Z22" s="1683">
        <v>0</v>
      </c>
      <c r="AA22" s="1683">
        <v>0</v>
      </c>
      <c r="AB22" s="1683">
        <v>0</v>
      </c>
      <c r="AC22" s="1684"/>
    </row>
    <row r="23" spans="1:29" ht="13.5" customHeight="1" thickTop="1">
      <c r="A23" s="1622" t="s">
        <v>815</v>
      </c>
      <c r="B23" s="1568"/>
      <c r="C23" s="1569"/>
      <c r="D23" s="1623">
        <v>134.5</v>
      </c>
      <c r="E23" s="1619">
        <v>0</v>
      </c>
      <c r="F23" s="1620">
        <v>0</v>
      </c>
      <c r="G23" s="1620">
        <v>0</v>
      </c>
      <c r="H23" s="1620">
        <v>0</v>
      </c>
      <c r="I23" s="1620">
        <v>0</v>
      </c>
      <c r="J23" s="1620">
        <v>0</v>
      </c>
      <c r="K23" s="1620">
        <v>0</v>
      </c>
      <c r="L23" s="1620">
        <v>0</v>
      </c>
      <c r="M23" s="1620">
        <v>2674</v>
      </c>
      <c r="N23" s="1620">
        <v>2674</v>
      </c>
      <c r="O23" s="1620">
        <v>2674</v>
      </c>
      <c r="P23" s="1620">
        <v>2674</v>
      </c>
      <c r="Q23" s="1620">
        <v>2674</v>
      </c>
      <c r="R23" s="1620">
        <v>2674</v>
      </c>
      <c r="S23" s="1620">
        <v>2674</v>
      </c>
      <c r="T23" s="1620">
        <v>2674</v>
      </c>
      <c r="U23" s="1620">
        <v>2674</v>
      </c>
      <c r="V23" s="1620">
        <v>2674</v>
      </c>
      <c r="W23" s="1620">
        <v>0</v>
      </c>
      <c r="X23" s="1620">
        <v>0</v>
      </c>
      <c r="Y23" s="1620">
        <v>0</v>
      </c>
      <c r="Z23" s="1620">
        <v>0</v>
      </c>
      <c r="AA23" s="1620">
        <v>0</v>
      </c>
      <c r="AB23" s="1620">
        <v>0</v>
      </c>
      <c r="AC23" s="1621"/>
    </row>
    <row r="24" spans="1:29" ht="13.5" customHeight="1" thickBot="1">
      <c r="A24" s="1409"/>
      <c r="B24" s="1410"/>
      <c r="C24" s="1630"/>
      <c r="D24" s="1412"/>
      <c r="E24" s="1416"/>
      <c r="F24" s="1417"/>
      <c r="G24" s="1417"/>
      <c r="H24" s="1417"/>
      <c r="I24" s="1417"/>
      <c r="J24" s="1417"/>
      <c r="K24" s="1417"/>
      <c r="L24" s="1417"/>
      <c r="M24" s="1417"/>
      <c r="N24" s="1417"/>
      <c r="O24" s="1417"/>
      <c r="P24" s="1417"/>
      <c r="Q24" s="1417"/>
      <c r="R24" s="1417"/>
      <c r="S24" s="1417"/>
      <c r="T24" s="1417"/>
      <c r="U24" s="1417"/>
      <c r="V24" s="1417"/>
      <c r="W24" s="1417"/>
      <c r="X24" s="1417"/>
      <c r="Y24" s="1417"/>
      <c r="Z24" s="1417"/>
      <c r="AA24" s="1417"/>
      <c r="AB24" s="1595"/>
      <c r="AC24" s="1596"/>
    </row>
    <row r="25" spans="1:29" ht="13.5" customHeight="1" thickTop="1">
      <c r="A25" s="1647" t="s">
        <v>820</v>
      </c>
      <c r="B25" s="1648"/>
      <c r="C25" s="1648"/>
      <c r="D25" s="1643">
        <v>134.5</v>
      </c>
      <c r="E25" s="1644">
        <v>0</v>
      </c>
      <c r="F25" s="1645">
        <v>0</v>
      </c>
      <c r="G25" s="1645">
        <v>0</v>
      </c>
      <c r="H25" s="1645">
        <v>0</v>
      </c>
      <c r="I25" s="1645">
        <v>0</v>
      </c>
      <c r="J25" s="1645">
        <v>0</v>
      </c>
      <c r="K25" s="1645">
        <v>0</v>
      </c>
      <c r="L25" s="1645">
        <v>0</v>
      </c>
      <c r="M25" s="1645">
        <v>2674</v>
      </c>
      <c r="N25" s="1645">
        <v>2674</v>
      </c>
      <c r="O25" s="1645">
        <v>2674</v>
      </c>
      <c r="P25" s="1645">
        <v>2674</v>
      </c>
      <c r="Q25" s="1645">
        <v>2674</v>
      </c>
      <c r="R25" s="1645">
        <v>2674</v>
      </c>
      <c r="S25" s="1645">
        <v>2674</v>
      </c>
      <c r="T25" s="1645">
        <v>2674</v>
      </c>
      <c r="U25" s="1645">
        <v>2674</v>
      </c>
      <c r="V25" s="1645">
        <v>2674</v>
      </c>
      <c r="W25" s="1645">
        <v>0</v>
      </c>
      <c r="X25" s="1645">
        <v>0</v>
      </c>
      <c r="Y25" s="1645">
        <v>0</v>
      </c>
      <c r="Z25" s="1645">
        <v>0</v>
      </c>
      <c r="AA25" s="1645">
        <v>0</v>
      </c>
      <c r="AB25" s="1645">
        <v>0</v>
      </c>
      <c r="AC25" s="1646"/>
    </row>
    <row r="26" spans="1:29" ht="13.5" customHeight="1">
      <c r="A26" s="1306"/>
      <c r="B26" s="1305"/>
      <c r="C26" s="1592"/>
      <c r="D26" s="1303"/>
      <c r="E26" s="1293"/>
      <c r="F26" s="1292"/>
      <c r="G26" s="1292"/>
      <c r="H26" s="1292"/>
      <c r="I26" s="1292"/>
      <c r="J26" s="1292"/>
      <c r="K26" s="1292"/>
      <c r="L26" s="1292"/>
      <c r="M26" s="1292"/>
      <c r="N26" s="1292"/>
      <c r="O26" s="1292"/>
      <c r="P26" s="1292"/>
      <c r="Q26" s="1292"/>
      <c r="R26" s="1292"/>
      <c r="S26" s="1292"/>
      <c r="T26" s="1292"/>
      <c r="U26" s="1292"/>
      <c r="V26" s="1292"/>
      <c r="W26" s="1292"/>
      <c r="X26" s="1292"/>
      <c r="Y26" s="1292"/>
      <c r="Z26" s="1292"/>
      <c r="AA26" s="1292"/>
      <c r="AB26" s="1571"/>
      <c r="AC26" s="1570"/>
    </row>
    <row r="27" spans="1:29" ht="13.5" customHeight="1">
      <c r="A27" s="1306"/>
      <c r="B27" s="1305"/>
      <c r="C27" s="1572"/>
      <c r="D27" s="1303"/>
      <c r="E27" s="1293"/>
      <c r="F27" s="1292"/>
      <c r="G27" s="1292"/>
      <c r="H27" s="1292"/>
      <c r="I27" s="1292"/>
      <c r="J27" s="1292"/>
      <c r="K27" s="1292"/>
      <c r="L27" s="1292"/>
      <c r="M27" s="1292"/>
      <c r="N27" s="1292"/>
      <c r="O27" s="1292"/>
      <c r="P27" s="1292"/>
      <c r="Q27" s="1292"/>
      <c r="R27" s="1292"/>
      <c r="S27" s="1292"/>
      <c r="T27" s="1292"/>
      <c r="U27" s="1292"/>
      <c r="V27" s="1292"/>
      <c r="W27" s="1292"/>
      <c r="X27" s="1292"/>
      <c r="Y27" s="1292"/>
      <c r="Z27" s="1292"/>
      <c r="AA27" s="1292"/>
      <c r="AB27" s="1571"/>
      <c r="AC27" s="1570"/>
    </row>
    <row r="28" spans="1:29" ht="13.5" customHeight="1">
      <c r="A28" s="1306"/>
      <c r="B28" s="1305"/>
      <c r="C28" s="1572"/>
      <c r="D28" s="1303"/>
      <c r="E28" s="1293"/>
      <c r="F28" s="1292"/>
      <c r="G28" s="1292"/>
      <c r="H28" s="1292"/>
      <c r="I28" s="1292"/>
      <c r="J28" s="1292"/>
      <c r="K28" s="1292"/>
      <c r="L28" s="1292"/>
      <c r="M28" s="1292"/>
      <c r="N28" s="1292"/>
      <c r="O28" s="1292"/>
      <c r="P28" s="1292"/>
      <c r="Q28" s="1292"/>
      <c r="R28" s="1292"/>
      <c r="S28" s="1292"/>
      <c r="T28" s="1292"/>
      <c r="U28" s="1292"/>
      <c r="V28" s="1292"/>
      <c r="W28" s="1292"/>
      <c r="X28" s="1292"/>
      <c r="Y28" s="1292"/>
      <c r="Z28" s="1292"/>
      <c r="AA28" s="1292"/>
      <c r="AB28" s="1571"/>
      <c r="AC28" s="1570"/>
    </row>
    <row r="29" spans="1:29" ht="13.5" customHeight="1">
      <c r="A29" s="1306"/>
      <c r="B29" s="1305"/>
      <c r="C29" s="1572"/>
      <c r="D29" s="1303"/>
      <c r="E29" s="1293"/>
      <c r="F29" s="1292"/>
      <c r="G29" s="1292"/>
      <c r="H29" s="1292"/>
      <c r="I29" s="1292"/>
      <c r="J29" s="1292"/>
      <c r="K29" s="1292"/>
      <c r="L29" s="1292"/>
      <c r="M29" s="1292"/>
      <c r="N29" s="1292"/>
      <c r="O29" s="1292"/>
      <c r="P29" s="1292"/>
      <c r="Q29" s="1292"/>
      <c r="R29" s="1292"/>
      <c r="S29" s="1292"/>
      <c r="T29" s="1292"/>
      <c r="U29" s="1292"/>
      <c r="V29" s="1292"/>
      <c r="W29" s="1292"/>
      <c r="X29" s="1292"/>
      <c r="Y29" s="1292"/>
      <c r="Z29" s="1292"/>
      <c r="AA29" s="1292"/>
      <c r="AB29" s="1571"/>
      <c r="AC29" s="1570"/>
    </row>
    <row r="30" spans="1:29" ht="13.5" customHeight="1">
      <c r="A30" s="1306"/>
      <c r="B30" s="1305"/>
      <c r="C30" s="1572"/>
      <c r="D30" s="1303"/>
      <c r="E30" s="1293"/>
      <c r="F30" s="1292"/>
      <c r="G30" s="1292"/>
      <c r="H30" s="1292"/>
      <c r="I30" s="1292"/>
      <c r="J30" s="1292"/>
      <c r="K30" s="1292"/>
      <c r="L30" s="1292"/>
      <c r="M30" s="1292"/>
      <c r="N30" s="1292"/>
      <c r="O30" s="1292"/>
      <c r="P30" s="1292"/>
      <c r="Q30" s="1292"/>
      <c r="R30" s="1292"/>
      <c r="S30" s="1292"/>
      <c r="T30" s="1292"/>
      <c r="U30" s="1292"/>
      <c r="V30" s="1292"/>
      <c r="W30" s="1292"/>
      <c r="X30" s="1292"/>
      <c r="Y30" s="1292"/>
      <c r="Z30" s="1292"/>
      <c r="AA30" s="1292"/>
      <c r="AB30" s="1571"/>
      <c r="AC30" s="1570"/>
    </row>
    <row r="31" spans="1:29" ht="13.5" customHeight="1">
      <c r="A31" s="1306"/>
      <c r="B31" s="1305"/>
      <c r="C31" s="1572"/>
      <c r="D31" s="1303"/>
      <c r="E31" s="1293"/>
      <c r="F31" s="1292"/>
      <c r="G31" s="1292"/>
      <c r="H31" s="1292"/>
      <c r="I31" s="1292"/>
      <c r="J31" s="1292"/>
      <c r="K31" s="1292"/>
      <c r="L31" s="1292"/>
      <c r="M31" s="1292"/>
      <c r="N31" s="1292"/>
      <c r="O31" s="1292"/>
      <c r="P31" s="1292"/>
      <c r="Q31" s="1292"/>
      <c r="R31" s="1292"/>
      <c r="S31" s="1292"/>
      <c r="T31" s="1292"/>
      <c r="U31" s="1292"/>
      <c r="V31" s="1292"/>
      <c r="W31" s="1292"/>
      <c r="X31" s="1292"/>
      <c r="Y31" s="1292"/>
      <c r="Z31" s="1292"/>
      <c r="AA31" s="1292"/>
      <c r="AB31" s="1571"/>
      <c r="AC31" s="1570"/>
    </row>
    <row r="32" spans="1:29" ht="13.5" customHeight="1">
      <c r="A32" s="1306"/>
      <c r="B32" s="1305"/>
      <c r="C32" s="1572"/>
      <c r="D32" s="1303"/>
      <c r="E32" s="1293"/>
      <c r="F32" s="1292"/>
      <c r="G32" s="1292"/>
      <c r="H32" s="1292"/>
      <c r="I32" s="1292"/>
      <c r="J32" s="1292"/>
      <c r="K32" s="1292"/>
      <c r="L32" s="1292"/>
      <c r="M32" s="1292"/>
      <c r="N32" s="1292"/>
      <c r="O32" s="1292"/>
      <c r="P32" s="1292"/>
      <c r="Q32" s="1292"/>
      <c r="R32" s="1292"/>
      <c r="S32" s="1292"/>
      <c r="T32" s="1292"/>
      <c r="U32" s="1292"/>
      <c r="V32" s="1292"/>
      <c r="W32" s="1292"/>
      <c r="X32" s="1292"/>
      <c r="Y32" s="1292"/>
      <c r="Z32" s="1292"/>
      <c r="AA32" s="1292"/>
      <c r="AB32" s="1571"/>
      <c r="AC32" s="1570"/>
    </row>
    <row r="33" spans="1:29" ht="13.5" customHeight="1">
      <c r="A33" s="1306"/>
      <c r="B33" s="1305"/>
      <c r="C33" s="1572"/>
      <c r="D33" s="1303"/>
      <c r="E33" s="1293"/>
      <c r="F33" s="1292"/>
      <c r="G33" s="1292"/>
      <c r="H33" s="1292"/>
      <c r="I33" s="1292"/>
      <c r="J33" s="1292"/>
      <c r="K33" s="1292"/>
      <c r="L33" s="1292"/>
      <c r="M33" s="1292"/>
      <c r="N33" s="1292"/>
      <c r="O33" s="1292"/>
      <c r="P33" s="1292"/>
      <c r="Q33" s="1292"/>
      <c r="R33" s="1292"/>
      <c r="S33" s="1292"/>
      <c r="T33" s="1292"/>
      <c r="U33" s="1292"/>
      <c r="V33" s="1292"/>
      <c r="W33" s="1292"/>
      <c r="X33" s="1292"/>
      <c r="Y33" s="1292"/>
      <c r="Z33" s="1292"/>
      <c r="AA33" s="1292"/>
      <c r="AB33" s="1571"/>
      <c r="AC33" s="1570"/>
    </row>
    <row r="34" spans="1:29" ht="13.5" customHeight="1">
      <c r="A34" s="1306"/>
      <c r="B34" s="1305"/>
      <c r="C34" s="1572"/>
      <c r="D34" s="1303"/>
      <c r="E34" s="1293"/>
      <c r="F34" s="1292"/>
      <c r="G34" s="1292"/>
      <c r="H34" s="1292"/>
      <c r="I34" s="1292"/>
      <c r="J34" s="1292"/>
      <c r="K34" s="1292"/>
      <c r="L34" s="1292"/>
      <c r="M34" s="1292"/>
      <c r="N34" s="1292"/>
      <c r="O34" s="1292"/>
      <c r="P34" s="1292"/>
      <c r="Q34" s="1292"/>
      <c r="R34" s="1292"/>
      <c r="S34" s="1292"/>
      <c r="T34" s="1292"/>
      <c r="U34" s="1292"/>
      <c r="V34" s="1292"/>
      <c r="W34" s="1292"/>
      <c r="X34" s="1292"/>
      <c r="Y34" s="1292"/>
      <c r="Z34" s="1292"/>
      <c r="AA34" s="1292"/>
      <c r="AB34" s="1571"/>
      <c r="AC34" s="1570"/>
    </row>
    <row r="35" spans="1:29" ht="13.5" customHeight="1">
      <c r="A35" s="1306"/>
      <c r="B35" s="1305"/>
      <c r="C35" s="1572"/>
      <c r="D35" s="1303"/>
      <c r="E35" s="1293"/>
      <c r="F35" s="1292"/>
      <c r="G35" s="1292"/>
      <c r="H35" s="1292"/>
      <c r="I35" s="1292"/>
      <c r="J35" s="1292"/>
      <c r="K35" s="1292"/>
      <c r="L35" s="1292"/>
      <c r="M35" s="1292"/>
      <c r="N35" s="1292"/>
      <c r="O35" s="1292"/>
      <c r="P35" s="1292"/>
      <c r="Q35" s="1292"/>
      <c r="R35" s="1292"/>
      <c r="S35" s="1292"/>
      <c r="T35" s="1292"/>
      <c r="U35" s="1292"/>
      <c r="V35" s="1292"/>
      <c r="W35" s="1292"/>
      <c r="X35" s="1292"/>
      <c r="Y35" s="1292"/>
      <c r="Z35" s="1292"/>
      <c r="AA35" s="1292"/>
      <c r="AB35" s="1571"/>
      <c r="AC35" s="1570"/>
    </row>
    <row r="36" spans="1:29" ht="13.5" customHeight="1">
      <c r="A36" s="1306"/>
      <c r="B36" s="1305"/>
      <c r="C36" s="1572"/>
      <c r="D36" s="1303"/>
      <c r="E36" s="1293"/>
      <c r="F36" s="1292"/>
      <c r="G36" s="1292"/>
      <c r="H36" s="1292"/>
      <c r="I36" s="1292"/>
      <c r="J36" s="1292"/>
      <c r="K36" s="1292"/>
      <c r="L36" s="1292"/>
      <c r="M36" s="1292"/>
      <c r="N36" s="1292"/>
      <c r="O36" s="1292"/>
      <c r="P36" s="1292"/>
      <c r="Q36" s="1292"/>
      <c r="R36" s="1292"/>
      <c r="S36" s="1292"/>
      <c r="T36" s="1292"/>
      <c r="U36" s="1292"/>
      <c r="V36" s="1292"/>
      <c r="W36" s="1292"/>
      <c r="X36" s="1292"/>
      <c r="Y36" s="1292"/>
      <c r="Z36" s="1292"/>
      <c r="AA36" s="1292"/>
      <c r="AB36" s="1571"/>
      <c r="AC36" s="1570"/>
    </row>
    <row r="37" spans="1:29" ht="13.5" customHeight="1">
      <c r="A37" s="1306"/>
      <c r="B37" s="1305"/>
      <c r="C37" s="1572"/>
      <c r="D37" s="1303"/>
      <c r="E37" s="1293"/>
      <c r="F37" s="1292"/>
      <c r="G37" s="1292"/>
      <c r="H37" s="1292"/>
      <c r="I37" s="1292"/>
      <c r="J37" s="1292"/>
      <c r="K37" s="1292"/>
      <c r="L37" s="1292"/>
      <c r="M37" s="1292"/>
      <c r="N37" s="1292"/>
      <c r="O37" s="1292"/>
      <c r="P37" s="1292"/>
      <c r="Q37" s="1292"/>
      <c r="R37" s="1292"/>
      <c r="S37" s="1292"/>
      <c r="T37" s="1292"/>
      <c r="U37" s="1292"/>
      <c r="V37" s="1292"/>
      <c r="W37" s="1292"/>
      <c r="X37" s="1292"/>
      <c r="Y37" s="1292"/>
      <c r="Z37" s="1292"/>
      <c r="AA37" s="1292"/>
      <c r="AB37" s="1571"/>
      <c r="AC37" s="1570"/>
    </row>
    <row r="38" spans="1:29" ht="13.5" customHeight="1">
      <c r="A38" s="1306"/>
      <c r="B38" s="1305"/>
      <c r="C38" s="1572"/>
      <c r="D38" s="1303"/>
      <c r="E38" s="1293"/>
      <c r="F38" s="1292"/>
      <c r="G38" s="1292"/>
      <c r="H38" s="1292"/>
      <c r="I38" s="1292"/>
      <c r="J38" s="1292"/>
      <c r="K38" s="1292"/>
      <c r="L38" s="1292"/>
      <c r="M38" s="1292"/>
      <c r="N38" s="1292"/>
      <c r="O38" s="1292"/>
      <c r="P38" s="1292"/>
      <c r="Q38" s="1292"/>
      <c r="R38" s="1292"/>
      <c r="S38" s="1292"/>
      <c r="T38" s="1292"/>
      <c r="U38" s="1292"/>
      <c r="V38" s="1292"/>
      <c r="W38" s="1292"/>
      <c r="X38" s="1292"/>
      <c r="Y38" s="1292"/>
      <c r="Z38" s="1292"/>
      <c r="AA38" s="1292"/>
      <c r="AB38" s="1571"/>
      <c r="AC38" s="1570"/>
    </row>
    <row r="39" spans="1:29" ht="13.5" customHeight="1">
      <c r="A39" s="1306"/>
      <c r="B39" s="1305"/>
      <c r="C39" s="1572"/>
      <c r="D39" s="1303"/>
      <c r="E39" s="1293"/>
      <c r="F39" s="1292"/>
      <c r="G39" s="1292"/>
      <c r="H39" s="1292"/>
      <c r="I39" s="1292"/>
      <c r="J39" s="1292"/>
      <c r="K39" s="1292"/>
      <c r="L39" s="1292"/>
      <c r="M39" s="1292"/>
      <c r="N39" s="1292"/>
      <c r="O39" s="1292"/>
      <c r="P39" s="1292"/>
      <c r="Q39" s="1292"/>
      <c r="R39" s="1292"/>
      <c r="S39" s="1292"/>
      <c r="T39" s="1292"/>
      <c r="U39" s="1292"/>
      <c r="V39" s="1292"/>
      <c r="W39" s="1292"/>
      <c r="X39" s="1292"/>
      <c r="Y39" s="1292"/>
      <c r="Z39" s="1292"/>
      <c r="AA39" s="1292"/>
      <c r="AB39" s="1571"/>
      <c r="AC39" s="1570"/>
    </row>
    <row r="40" spans="1:29" ht="13.5" customHeight="1">
      <c r="A40" s="1306"/>
      <c r="B40" s="1305"/>
      <c r="C40" s="1572"/>
      <c r="D40" s="1303"/>
      <c r="E40" s="1293"/>
      <c r="F40" s="1292"/>
      <c r="G40" s="1292"/>
      <c r="H40" s="1292"/>
      <c r="I40" s="1292"/>
      <c r="J40" s="1292"/>
      <c r="K40" s="1292"/>
      <c r="L40" s="1292"/>
      <c r="M40" s="1292"/>
      <c r="N40" s="1292"/>
      <c r="O40" s="1292"/>
      <c r="P40" s="1292"/>
      <c r="Q40" s="1292"/>
      <c r="R40" s="1292"/>
      <c r="S40" s="1292"/>
      <c r="T40" s="1292"/>
      <c r="U40" s="1292"/>
      <c r="V40" s="1292"/>
      <c r="W40" s="1292"/>
      <c r="X40" s="1292"/>
      <c r="Y40" s="1292"/>
      <c r="Z40" s="1292"/>
      <c r="AA40" s="1292"/>
      <c r="AB40" s="1571"/>
      <c r="AC40" s="1570"/>
    </row>
    <row r="41" spans="1:29" ht="13.5" customHeight="1">
      <c r="A41" s="1306"/>
      <c r="B41" s="1305"/>
      <c r="C41" s="1572"/>
      <c r="D41" s="1303"/>
      <c r="E41" s="1293"/>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571"/>
      <c r="AC41" s="1570"/>
    </row>
    <row r="42" spans="1:29" ht="13.5" customHeight="1">
      <c r="A42" s="1306"/>
      <c r="B42" s="1305"/>
      <c r="C42" s="1572"/>
      <c r="D42" s="1303"/>
      <c r="E42" s="1293"/>
      <c r="F42" s="1292"/>
      <c r="G42" s="1292"/>
      <c r="H42" s="1292"/>
      <c r="I42" s="1292"/>
      <c r="J42" s="1292"/>
      <c r="K42" s="1292"/>
      <c r="L42" s="1292"/>
      <c r="M42" s="1292"/>
      <c r="N42" s="1292"/>
      <c r="O42" s="1292"/>
      <c r="P42" s="1292"/>
      <c r="Q42" s="1292"/>
      <c r="R42" s="1292"/>
      <c r="S42" s="1292"/>
      <c r="T42" s="1292"/>
      <c r="U42" s="1292"/>
      <c r="V42" s="1292"/>
      <c r="W42" s="1292"/>
      <c r="X42" s="1292"/>
      <c r="Y42" s="1292"/>
      <c r="Z42" s="1292"/>
      <c r="AA42" s="1292"/>
      <c r="AB42" s="1571"/>
      <c r="AC42" s="1570"/>
    </row>
    <row r="43" spans="1:29" ht="13.5" customHeight="1">
      <c r="A43" s="1306"/>
      <c r="B43" s="1305"/>
      <c r="C43" s="1572"/>
      <c r="D43" s="1303"/>
      <c r="E43" s="1293"/>
      <c r="F43" s="1292"/>
      <c r="G43" s="1292"/>
      <c r="H43" s="1292"/>
      <c r="I43" s="1292"/>
      <c r="J43" s="1292"/>
      <c r="K43" s="1292"/>
      <c r="L43" s="1292"/>
      <c r="M43" s="1292"/>
      <c r="N43" s="1292"/>
      <c r="O43" s="1292"/>
      <c r="P43" s="1292"/>
      <c r="Q43" s="1292"/>
      <c r="R43" s="1292"/>
      <c r="S43" s="1292"/>
      <c r="T43" s="1292"/>
      <c r="U43" s="1292"/>
      <c r="V43" s="1292"/>
      <c r="W43" s="1292"/>
      <c r="X43" s="1292"/>
      <c r="Y43" s="1292"/>
      <c r="Z43" s="1292"/>
      <c r="AA43" s="1292"/>
      <c r="AB43" s="1571"/>
      <c r="AC43" s="1570"/>
    </row>
    <row r="44" spans="1:29" ht="13.5" customHeight="1">
      <c r="A44" s="1306"/>
      <c r="B44" s="1305"/>
      <c r="C44" s="1572"/>
      <c r="D44" s="1303"/>
      <c r="E44" s="1293"/>
      <c r="F44" s="1292"/>
      <c r="G44" s="1292"/>
      <c r="H44" s="1292"/>
      <c r="I44" s="1292"/>
      <c r="J44" s="1292"/>
      <c r="K44" s="1292"/>
      <c r="L44" s="1292"/>
      <c r="M44" s="1292"/>
      <c r="N44" s="1292"/>
      <c r="O44" s="1292"/>
      <c r="P44" s="1292"/>
      <c r="Q44" s="1292"/>
      <c r="R44" s="1292"/>
      <c r="S44" s="1292"/>
      <c r="T44" s="1292"/>
      <c r="U44" s="1292"/>
      <c r="V44" s="1292"/>
      <c r="W44" s="1292"/>
      <c r="X44" s="1292"/>
      <c r="Y44" s="1292"/>
      <c r="Z44" s="1292"/>
      <c r="AA44" s="1292"/>
      <c r="AB44" s="1571"/>
      <c r="AC44" s="1570"/>
    </row>
    <row r="45" spans="1:29" ht="13.5" customHeight="1">
      <c r="A45" s="1306"/>
      <c r="B45" s="1305"/>
      <c r="C45" s="1572"/>
      <c r="D45" s="1303"/>
      <c r="E45" s="1293"/>
      <c r="F45" s="1292"/>
      <c r="G45" s="1292"/>
      <c r="H45" s="1292"/>
      <c r="I45" s="1292"/>
      <c r="J45" s="1292"/>
      <c r="K45" s="1292"/>
      <c r="L45" s="1292"/>
      <c r="M45" s="1292"/>
      <c r="N45" s="1292"/>
      <c r="O45" s="1292"/>
      <c r="P45" s="1292"/>
      <c r="Q45" s="1292"/>
      <c r="R45" s="1292"/>
      <c r="S45" s="1292"/>
      <c r="T45" s="1292"/>
      <c r="U45" s="1292"/>
      <c r="V45" s="1292"/>
      <c r="W45" s="1292"/>
      <c r="X45" s="1292"/>
      <c r="Y45" s="1292"/>
      <c r="Z45" s="1292"/>
      <c r="AA45" s="1292"/>
      <c r="AB45" s="1571"/>
      <c r="AC45" s="1570"/>
    </row>
    <row r="46" spans="1:29" ht="13.5" customHeight="1">
      <c r="A46" s="1306"/>
      <c r="B46" s="1305"/>
      <c r="C46" s="1572"/>
      <c r="D46" s="1303"/>
      <c r="E46" s="1293"/>
      <c r="F46" s="1292"/>
      <c r="G46" s="1292"/>
      <c r="H46" s="1292"/>
      <c r="I46" s="1292"/>
      <c r="J46" s="1292"/>
      <c r="K46" s="1292"/>
      <c r="L46" s="1292"/>
      <c r="M46" s="1292"/>
      <c r="N46" s="1292"/>
      <c r="O46" s="1292"/>
      <c r="P46" s="1292"/>
      <c r="Q46" s="1292"/>
      <c r="R46" s="1292"/>
      <c r="S46" s="1292"/>
      <c r="T46" s="1292"/>
      <c r="U46" s="1292"/>
      <c r="V46" s="1292"/>
      <c r="W46" s="1292"/>
      <c r="X46" s="1292"/>
      <c r="Y46" s="1292"/>
      <c r="Z46" s="1292"/>
      <c r="AA46" s="1292"/>
      <c r="AB46" s="1571"/>
      <c r="AC46" s="1570"/>
    </row>
    <row r="47" spans="1:29" ht="13.5" customHeight="1">
      <c r="A47" s="1306"/>
      <c r="B47" s="1305"/>
      <c r="C47" s="1572"/>
      <c r="D47" s="1303"/>
      <c r="E47" s="1293"/>
      <c r="F47" s="1292"/>
      <c r="G47" s="1292"/>
      <c r="H47" s="1292"/>
      <c r="I47" s="1292"/>
      <c r="J47" s="1292"/>
      <c r="K47" s="1292"/>
      <c r="L47" s="1292"/>
      <c r="M47" s="1292"/>
      <c r="N47" s="1292"/>
      <c r="O47" s="1292"/>
      <c r="P47" s="1292"/>
      <c r="Q47" s="1292"/>
      <c r="R47" s="1292"/>
      <c r="S47" s="1292"/>
      <c r="T47" s="1292"/>
      <c r="U47" s="1292"/>
      <c r="V47" s="1292"/>
      <c r="W47" s="1292"/>
      <c r="X47" s="1292"/>
      <c r="Y47" s="1292"/>
      <c r="Z47" s="1292"/>
      <c r="AA47" s="1292"/>
      <c r="AB47" s="1571"/>
      <c r="AC47" s="1570"/>
    </row>
    <row r="48" spans="1:29" ht="13.5" customHeight="1">
      <c r="A48" s="1306"/>
      <c r="B48" s="1305"/>
      <c r="C48" s="1572"/>
      <c r="D48" s="1303"/>
      <c r="E48" s="1293"/>
      <c r="F48" s="1292"/>
      <c r="G48" s="1292"/>
      <c r="H48" s="1292"/>
      <c r="I48" s="1292"/>
      <c r="J48" s="1292"/>
      <c r="K48" s="1292"/>
      <c r="L48" s="1292"/>
      <c r="M48" s="1292"/>
      <c r="N48" s="1292"/>
      <c r="O48" s="1292"/>
      <c r="P48" s="1292"/>
      <c r="Q48" s="1292"/>
      <c r="R48" s="1292"/>
      <c r="S48" s="1292"/>
      <c r="T48" s="1292"/>
      <c r="U48" s="1292"/>
      <c r="V48" s="1292"/>
      <c r="W48" s="1292"/>
      <c r="X48" s="1292"/>
      <c r="Y48" s="1292"/>
      <c r="Z48" s="1292"/>
      <c r="AA48" s="1292"/>
      <c r="AB48" s="1571"/>
      <c r="AC48" s="1570"/>
    </row>
    <row r="49" spans="1:29" ht="13.5" customHeight="1">
      <c r="A49" s="1306"/>
      <c r="B49" s="1305"/>
      <c r="C49" s="1572"/>
      <c r="D49" s="1303"/>
      <c r="E49" s="1293"/>
      <c r="F49" s="1292"/>
      <c r="G49" s="1292"/>
      <c r="H49" s="1292"/>
      <c r="I49" s="1292"/>
      <c r="J49" s="1292"/>
      <c r="K49" s="1292"/>
      <c r="L49" s="1292"/>
      <c r="M49" s="1292"/>
      <c r="N49" s="1292"/>
      <c r="O49" s="1292"/>
      <c r="P49" s="1292"/>
      <c r="Q49" s="1292"/>
      <c r="R49" s="1292"/>
      <c r="S49" s="1292"/>
      <c r="T49" s="1292"/>
      <c r="U49" s="1292"/>
      <c r="V49" s="1292"/>
      <c r="W49" s="1292"/>
      <c r="X49" s="1292"/>
      <c r="Y49" s="1292"/>
      <c r="Z49" s="1292"/>
      <c r="AA49" s="1292"/>
      <c r="AB49" s="1571"/>
      <c r="AC49" s="1570"/>
    </row>
    <row r="50" spans="1:29" ht="13.5" customHeight="1">
      <c r="A50" s="1306"/>
      <c r="B50" s="1305"/>
      <c r="C50" s="1572"/>
      <c r="D50" s="1303"/>
      <c r="E50" s="1293"/>
      <c r="F50" s="1292"/>
      <c r="G50" s="1292"/>
      <c r="H50" s="1292"/>
      <c r="I50" s="1292"/>
      <c r="J50" s="1292"/>
      <c r="K50" s="1292"/>
      <c r="L50" s="1292"/>
      <c r="M50" s="1292"/>
      <c r="N50" s="1292"/>
      <c r="O50" s="1292"/>
      <c r="P50" s="1292"/>
      <c r="Q50" s="1292"/>
      <c r="R50" s="1292"/>
      <c r="S50" s="1292"/>
      <c r="T50" s="1292"/>
      <c r="U50" s="1292"/>
      <c r="V50" s="1292"/>
      <c r="W50" s="1292"/>
      <c r="X50" s="1292"/>
      <c r="Y50" s="1292"/>
      <c r="Z50" s="1292"/>
      <c r="AA50" s="1292"/>
      <c r="AB50" s="1571"/>
      <c r="AC50" s="1570"/>
    </row>
    <row r="51" spans="1:29" ht="13.5" customHeight="1">
      <c r="A51" s="1306"/>
      <c r="B51" s="1305"/>
      <c r="C51" s="1572"/>
      <c r="D51" s="1303"/>
      <c r="E51" s="1293"/>
      <c r="F51" s="1292"/>
      <c r="G51" s="1292"/>
      <c r="H51" s="1292"/>
      <c r="I51" s="1292"/>
      <c r="J51" s="1292"/>
      <c r="K51" s="1292"/>
      <c r="L51" s="1292"/>
      <c r="M51" s="1292"/>
      <c r="N51" s="1292"/>
      <c r="O51" s="1292"/>
      <c r="P51" s="1292"/>
      <c r="Q51" s="1292"/>
      <c r="R51" s="1292"/>
      <c r="S51" s="1292"/>
      <c r="T51" s="1292"/>
      <c r="U51" s="1292"/>
      <c r="V51" s="1292"/>
      <c r="W51" s="1292"/>
      <c r="X51" s="1292"/>
      <c r="Y51" s="1292"/>
      <c r="Z51" s="1292"/>
      <c r="AA51" s="1292"/>
      <c r="AB51" s="1571"/>
      <c r="AC51" s="1570"/>
    </row>
    <row r="52" spans="1:29" ht="13.5" customHeight="1">
      <c r="A52" s="1306"/>
      <c r="B52" s="1305"/>
      <c r="C52" s="1572"/>
      <c r="D52" s="1303"/>
      <c r="E52" s="1293"/>
      <c r="F52" s="1292"/>
      <c r="G52" s="1292"/>
      <c r="H52" s="1292"/>
      <c r="I52" s="1292"/>
      <c r="J52" s="1292"/>
      <c r="K52" s="1292"/>
      <c r="L52" s="1292"/>
      <c r="M52" s="1292"/>
      <c r="N52" s="1292"/>
      <c r="O52" s="1292"/>
      <c r="P52" s="1292"/>
      <c r="Q52" s="1292"/>
      <c r="R52" s="1292"/>
      <c r="S52" s="1292"/>
      <c r="T52" s="1292"/>
      <c r="U52" s="1292"/>
      <c r="V52" s="1292"/>
      <c r="W52" s="1292"/>
      <c r="X52" s="1292"/>
      <c r="Y52" s="1292"/>
      <c r="Z52" s="1292"/>
      <c r="AA52" s="1292"/>
      <c r="AB52" s="1571"/>
      <c r="AC52" s="1570"/>
    </row>
    <row r="53" spans="1:29" ht="13.5" customHeight="1">
      <c r="A53" s="1306"/>
      <c r="B53" s="1305"/>
      <c r="C53" s="1572"/>
      <c r="D53" s="1303"/>
      <c r="E53" s="1293"/>
      <c r="F53" s="1292"/>
      <c r="G53" s="1292"/>
      <c r="H53" s="1292"/>
      <c r="I53" s="1292"/>
      <c r="J53" s="1292"/>
      <c r="K53" s="1292"/>
      <c r="L53" s="1292"/>
      <c r="M53" s="1292"/>
      <c r="N53" s="1292"/>
      <c r="O53" s="1292"/>
      <c r="P53" s="1292"/>
      <c r="Q53" s="1292"/>
      <c r="R53" s="1292"/>
      <c r="S53" s="1292"/>
      <c r="T53" s="1292"/>
      <c r="U53" s="1292"/>
      <c r="V53" s="1292"/>
      <c r="W53" s="1292"/>
      <c r="X53" s="1292"/>
      <c r="Y53" s="1292"/>
      <c r="Z53" s="1292"/>
      <c r="AA53" s="1292"/>
      <c r="AB53" s="1571"/>
      <c r="AC53" s="1570"/>
    </row>
    <row r="54" spans="1:29" ht="13.5" customHeight="1">
      <c r="A54" s="1306"/>
      <c r="B54" s="1305"/>
      <c r="C54" s="1572"/>
      <c r="D54" s="1303"/>
      <c r="E54" s="1293"/>
      <c r="F54" s="1292"/>
      <c r="G54" s="1292"/>
      <c r="H54" s="1292"/>
      <c r="I54" s="1292"/>
      <c r="J54" s="1292"/>
      <c r="K54" s="1292"/>
      <c r="L54" s="1292"/>
      <c r="M54" s="1292"/>
      <c r="N54" s="1292"/>
      <c r="O54" s="1292"/>
      <c r="P54" s="1292"/>
      <c r="Q54" s="1292"/>
      <c r="R54" s="1292"/>
      <c r="S54" s="1292"/>
      <c r="T54" s="1292"/>
      <c r="U54" s="1292"/>
      <c r="V54" s="1292"/>
      <c r="W54" s="1292"/>
      <c r="X54" s="1292"/>
      <c r="Y54" s="1292"/>
      <c r="Z54" s="1292"/>
      <c r="AA54" s="1292"/>
      <c r="AB54" s="1571"/>
      <c r="AC54" s="1570"/>
    </row>
    <row r="55" spans="1:29" ht="13.5" customHeight="1" thickBot="1">
      <c r="A55" s="1409"/>
      <c r="B55" s="1410"/>
      <c r="C55" s="1594"/>
      <c r="D55" s="1412"/>
      <c r="E55" s="1416"/>
      <c r="F55" s="1417"/>
      <c r="G55" s="1417"/>
      <c r="H55" s="1417"/>
      <c r="I55" s="1417"/>
      <c r="J55" s="1417"/>
      <c r="K55" s="1417"/>
      <c r="L55" s="1417"/>
      <c r="M55" s="1417"/>
      <c r="N55" s="1417"/>
      <c r="O55" s="1417"/>
      <c r="P55" s="1417"/>
      <c r="Q55" s="1417"/>
      <c r="R55" s="1417"/>
      <c r="S55" s="1417"/>
      <c r="T55" s="1417"/>
      <c r="U55" s="1417"/>
      <c r="V55" s="1417"/>
      <c r="W55" s="1417"/>
      <c r="X55" s="1417"/>
      <c r="Y55" s="1417"/>
      <c r="Z55" s="1417"/>
      <c r="AA55" s="1417"/>
      <c r="AB55" s="1595"/>
      <c r="AC55" s="1596"/>
    </row>
    <row r="56" spans="1:29" ht="18.95" customHeight="1" thickTop="1" thickBot="1">
      <c r="A56" s="1649" t="s">
        <v>827</v>
      </c>
      <c r="B56" s="1650"/>
      <c r="C56" s="1651"/>
      <c r="D56" s="1652">
        <v>134.5</v>
      </c>
      <c r="E56" s="1653">
        <v>0</v>
      </c>
      <c r="F56" s="1654">
        <v>0</v>
      </c>
      <c r="G56" s="1654">
        <v>0</v>
      </c>
      <c r="H56" s="1654">
        <v>0</v>
      </c>
      <c r="I56" s="1654">
        <v>0</v>
      </c>
      <c r="J56" s="1654">
        <v>0</v>
      </c>
      <c r="K56" s="1654">
        <v>0</v>
      </c>
      <c r="L56" s="1654">
        <v>0</v>
      </c>
      <c r="M56" s="1655">
        <v>2674</v>
      </c>
      <c r="N56" s="1654">
        <v>2674</v>
      </c>
      <c r="O56" s="1654">
        <v>2674</v>
      </c>
      <c r="P56" s="1654">
        <v>2674</v>
      </c>
      <c r="Q56" s="1654">
        <v>2674</v>
      </c>
      <c r="R56" s="1654">
        <v>2674</v>
      </c>
      <c r="S56" s="1654">
        <v>2674</v>
      </c>
      <c r="T56" s="1654">
        <v>2674</v>
      </c>
      <c r="U56" s="1654">
        <v>2674</v>
      </c>
      <c r="V56" s="1654">
        <v>2674</v>
      </c>
      <c r="W56" s="1654">
        <v>0</v>
      </c>
      <c r="X56" s="1654">
        <v>0</v>
      </c>
      <c r="Y56" s="1654">
        <v>0</v>
      </c>
      <c r="Z56" s="1654">
        <v>0</v>
      </c>
      <c r="AA56" s="1654">
        <v>0</v>
      </c>
      <c r="AB56" s="1654">
        <v>0</v>
      </c>
      <c r="AC56" s="1656"/>
    </row>
    <row r="57" spans="1:29" ht="13.5" customHeight="1" thickTop="1">
      <c r="A57" s="1657" t="s">
        <v>822</v>
      </c>
      <c r="B57" s="1650"/>
      <c r="C57" s="1651"/>
      <c r="D57" s="1658">
        <v>134.5</v>
      </c>
      <c r="E57" s="1659">
        <v>0</v>
      </c>
      <c r="F57" s="1660">
        <v>0</v>
      </c>
      <c r="G57" s="1660">
        <v>0</v>
      </c>
      <c r="H57" s="1660">
        <v>0</v>
      </c>
      <c r="I57" s="1660">
        <v>0</v>
      </c>
      <c r="J57" s="1660">
        <v>0</v>
      </c>
      <c r="K57" s="1660">
        <v>0</v>
      </c>
      <c r="L57" s="1660">
        <v>0</v>
      </c>
      <c r="M57" s="1661">
        <v>3</v>
      </c>
      <c r="N57" s="1660">
        <v>3</v>
      </c>
      <c r="O57" s="1660">
        <v>3</v>
      </c>
      <c r="P57" s="1660">
        <v>3</v>
      </c>
      <c r="Q57" s="1660">
        <v>3</v>
      </c>
      <c r="R57" s="1660">
        <v>3</v>
      </c>
      <c r="S57" s="1660">
        <v>3</v>
      </c>
      <c r="T57" s="1660">
        <v>3</v>
      </c>
      <c r="U57" s="1660">
        <v>3</v>
      </c>
      <c r="V57" s="1660">
        <v>3</v>
      </c>
      <c r="W57" s="1660">
        <v>0</v>
      </c>
      <c r="X57" s="1660">
        <v>0</v>
      </c>
      <c r="Y57" s="1660">
        <v>0</v>
      </c>
      <c r="Z57" s="1660">
        <v>0</v>
      </c>
      <c r="AA57" s="1660">
        <v>0</v>
      </c>
      <c r="AB57" s="1660">
        <v>0</v>
      </c>
      <c r="AC57" s="1662"/>
    </row>
    <row r="58" spans="1:29" ht="13.5" customHeight="1">
      <c r="A58" s="1663" t="s">
        <v>823</v>
      </c>
      <c r="B58" s="1593"/>
      <c r="C58" s="1664"/>
      <c r="D58" s="1665">
        <v>134.5</v>
      </c>
      <c r="E58" s="1666">
        <v>0</v>
      </c>
      <c r="F58" s="1667">
        <v>0</v>
      </c>
      <c r="G58" s="1667">
        <v>0</v>
      </c>
      <c r="H58" s="1667">
        <v>0</v>
      </c>
      <c r="I58" s="1667">
        <v>0</v>
      </c>
      <c r="J58" s="1667">
        <v>0</v>
      </c>
      <c r="K58" s="1667">
        <v>0</v>
      </c>
      <c r="L58" s="1667">
        <v>0</v>
      </c>
      <c r="M58" s="1669">
        <v>20</v>
      </c>
      <c r="N58" s="1667">
        <v>20</v>
      </c>
      <c r="O58" s="1667">
        <v>20</v>
      </c>
      <c r="P58" s="1667">
        <v>20</v>
      </c>
      <c r="Q58" s="1667">
        <v>20</v>
      </c>
      <c r="R58" s="1667">
        <v>20</v>
      </c>
      <c r="S58" s="1667">
        <v>20</v>
      </c>
      <c r="T58" s="1667">
        <v>20</v>
      </c>
      <c r="U58" s="1667">
        <v>20</v>
      </c>
      <c r="V58" s="1667">
        <v>20</v>
      </c>
      <c r="W58" s="1667">
        <v>0</v>
      </c>
      <c r="X58" s="1667">
        <v>0</v>
      </c>
      <c r="Y58" s="1667">
        <v>0</v>
      </c>
      <c r="Z58" s="1667">
        <v>0</v>
      </c>
      <c r="AA58" s="1667">
        <v>0</v>
      </c>
      <c r="AB58" s="1667">
        <v>0</v>
      </c>
      <c r="AC58" s="1668"/>
    </row>
    <row r="65" spans="3:26" s="1276" customFormat="1" ht="13.5" customHeight="1">
      <c r="C65" s="1283"/>
      <c r="D65" s="1283"/>
      <c r="E65" s="1283"/>
      <c r="G65" s="1280"/>
      <c r="K65" s="1280"/>
      <c r="N65" s="1280"/>
      <c r="Q65" s="1280"/>
      <c r="S65" s="1280"/>
      <c r="T65" s="1280"/>
      <c r="W65" s="1280"/>
      <c r="Z65" s="1280"/>
    </row>
    <row r="66" spans="3:26" s="1276" customFormat="1" ht="13.5" customHeight="1">
      <c r="C66" s="1283"/>
      <c r="D66" s="1283"/>
      <c r="E66" s="1283"/>
      <c r="F66" s="1284"/>
      <c r="G66" s="1280"/>
      <c r="J66" s="1284"/>
      <c r="K66" s="1280"/>
      <c r="N66" s="1280"/>
      <c r="P66" s="1284"/>
      <c r="Q66" s="1280"/>
      <c r="S66" s="1280"/>
      <c r="T66" s="1280"/>
      <c r="V66" s="1284"/>
      <c r="W66" s="1280"/>
      <c r="Z66" s="1280"/>
    </row>
    <row r="67" spans="3:26" s="1276" customFormat="1" ht="13.5" customHeight="1">
      <c r="C67" s="1283"/>
      <c r="D67" s="1283"/>
      <c r="E67" s="1283"/>
      <c r="F67" s="1282"/>
      <c r="G67" s="1280"/>
      <c r="J67" s="1282"/>
      <c r="K67" s="1280"/>
      <c r="N67" s="1280"/>
      <c r="P67" s="1282"/>
      <c r="Q67" s="1280"/>
      <c r="S67" s="1280"/>
      <c r="T67" s="1280"/>
      <c r="V67" s="1282"/>
      <c r="W67" s="1280"/>
      <c r="Z67" s="1280"/>
    </row>
    <row r="68" spans="3:26" s="1276" customFormat="1" ht="13.5" customHeight="1">
      <c r="C68" s="1281"/>
      <c r="D68" s="1281"/>
      <c r="E68" s="1281"/>
      <c r="F68" s="1280"/>
      <c r="J68" s="1280"/>
      <c r="P68" s="1280"/>
      <c r="V68" s="1280"/>
    </row>
  </sheetData>
  <mergeCells count="24">
    <mergeCell ref="A25:C25"/>
    <mergeCell ref="A56:C56"/>
    <mergeCell ref="A57:C57"/>
    <mergeCell ref="A58:C58"/>
    <mergeCell ref="C22:D22"/>
    <mergeCell ref="A9:C9"/>
    <mergeCell ref="A16:C16"/>
    <mergeCell ref="A23:C23"/>
    <mergeCell ref="A11:C11"/>
    <mergeCell ref="A18:C18"/>
    <mergeCell ref="A6:AC6"/>
    <mergeCell ref="A13:AC13"/>
    <mergeCell ref="A20:AC20"/>
    <mergeCell ref="A7:C7"/>
    <mergeCell ref="A14:C14"/>
    <mergeCell ref="A21:C21"/>
    <mergeCell ref="C8:D8"/>
    <mergeCell ref="C15:D15"/>
    <mergeCell ref="A4:A5"/>
    <mergeCell ref="B4:B5"/>
    <mergeCell ref="C4:C5"/>
    <mergeCell ref="D4:D5"/>
    <mergeCell ref="E4:AB4"/>
    <mergeCell ref="AC4:AC5"/>
  </mergeCells>
  <phoneticPr fontId="3"/>
  <pageMargins left="0.39370078740157483" right="0.39370078740157483" top="0.78740157480314965" bottom="0.55118110236220474" header="0.31496062992125984" footer="0.31496062992125984"/>
  <pageSetup paperSize="9" scale="54" fitToHeight="0" orientation="landscape" horizontalDpi="1200" verticalDpi="1200" r:id="rId1"/>
  <headerFooter scaleWithDoc="0">
    <oddFooter>&amp;C&amp;"ＭＳ Ｐゴシック,標準"&amp;9( &amp;P / &amp;N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G49"/>
  <sheetViews>
    <sheetView showGridLines="0" zoomScale="80" zoomScaleNormal="80" workbookViewId="0">
      <pane xSplit="4" ySplit="5" topLeftCell="E6" activePane="bottomRight" state="frozenSplit"/>
      <selection pane="topRight" activeCell="J1" sqref="J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6" width="15.7109375" style="1276" customWidth="1"/>
    <col min="7" max="7" width="30.7109375" style="1276" customWidth="1"/>
    <col min="8" max="16384" width="9.140625" style="1272"/>
  </cols>
  <sheetData>
    <row r="1" spans="1:7" s="1545" customFormat="1" ht="21" customHeight="1">
      <c r="A1" s="1551" t="s">
        <v>829</v>
      </c>
      <c r="B1" s="1550"/>
      <c r="C1" s="1549"/>
      <c r="D1" s="1689"/>
      <c r="E1" s="1688"/>
      <c r="F1" s="1688"/>
      <c r="G1" s="1546"/>
    </row>
    <row r="4" spans="1:7" ht="13.5" customHeight="1">
      <c r="A4" s="1380" t="s">
        <v>372</v>
      </c>
      <c r="B4" s="1379" t="s">
        <v>358</v>
      </c>
      <c r="C4" s="1544" t="s">
        <v>631</v>
      </c>
      <c r="D4" s="1580" t="s">
        <v>630</v>
      </c>
      <c r="E4" s="1579" t="s">
        <v>828</v>
      </c>
      <c r="F4" s="1577"/>
      <c r="G4" s="1687" t="s">
        <v>797</v>
      </c>
    </row>
    <row r="5" spans="1:7" ht="13.5" customHeight="1">
      <c r="A5" s="1348"/>
      <c r="B5" s="1347"/>
      <c r="C5" s="1537"/>
      <c r="D5" s="1590"/>
      <c r="E5" s="1686" t="s">
        <v>34</v>
      </c>
      <c r="F5" s="1685" t="s">
        <v>59</v>
      </c>
      <c r="G5" s="1690"/>
    </row>
    <row r="6" spans="1:7" ht="13.5" customHeight="1">
      <c r="A6" s="1606" t="s">
        <v>812</v>
      </c>
      <c r="B6" s="1607"/>
      <c r="C6" s="1608"/>
      <c r="D6" s="1601"/>
      <c r="E6" s="1602"/>
      <c r="F6" s="1604"/>
      <c r="G6" s="1605"/>
    </row>
    <row r="7" spans="1:7" ht="13.5" customHeight="1">
      <c r="A7" s="1306">
        <v>2</v>
      </c>
      <c r="B7" s="1305">
        <v>201</v>
      </c>
      <c r="C7" s="1592" t="s">
        <v>347</v>
      </c>
      <c r="D7" s="1303">
        <v>54.8</v>
      </c>
      <c r="E7" s="1293">
        <v>180</v>
      </c>
      <c r="F7" s="1571">
        <v>180</v>
      </c>
      <c r="G7" s="1570"/>
    </row>
    <row r="8" spans="1:7" ht="13.5" customHeight="1">
      <c r="A8" s="1306">
        <v>2</v>
      </c>
      <c r="B8" s="1305">
        <v>204</v>
      </c>
      <c r="C8" s="1572" t="s">
        <v>531</v>
      </c>
      <c r="D8" s="1303">
        <v>13.2</v>
      </c>
      <c r="E8" s="1293">
        <v>104</v>
      </c>
      <c r="F8" s="1571">
        <v>108</v>
      </c>
      <c r="G8" s="1570"/>
    </row>
    <row r="9" spans="1:7" ht="13.5" customHeight="1">
      <c r="A9" s="1306">
        <v>2</v>
      </c>
      <c r="B9" s="1305">
        <v>205</v>
      </c>
      <c r="C9" s="1572" t="s">
        <v>557</v>
      </c>
      <c r="D9" s="1303">
        <v>13.2</v>
      </c>
      <c r="E9" s="1293">
        <v>116</v>
      </c>
      <c r="F9" s="1571">
        <v>116</v>
      </c>
      <c r="G9" s="1570"/>
    </row>
    <row r="10" spans="1:7" ht="13.5" customHeight="1">
      <c r="A10" s="1409">
        <v>2</v>
      </c>
      <c r="B10" s="1305">
        <v>208</v>
      </c>
      <c r="C10" s="1572" t="s">
        <v>588</v>
      </c>
      <c r="D10" s="1303">
        <v>53.3</v>
      </c>
      <c r="E10" s="1293">
        <v>114</v>
      </c>
      <c r="F10" s="1571">
        <v>117</v>
      </c>
      <c r="G10" s="1570"/>
    </row>
    <row r="11" spans="1:7" ht="13.5" customHeight="1" thickBot="1">
      <c r="A11" s="1691"/>
      <c r="B11" s="1692"/>
      <c r="C11" s="1693" t="s">
        <v>830</v>
      </c>
      <c r="D11" s="1694"/>
      <c r="E11" s="1416">
        <v>1237</v>
      </c>
      <c r="F11" s="1595">
        <v>1237</v>
      </c>
      <c r="G11" s="1596"/>
    </row>
    <row r="12" spans="1:7" ht="13.5" customHeight="1" thickTop="1">
      <c r="A12" s="1622" t="s">
        <v>815</v>
      </c>
      <c r="B12" s="1568"/>
      <c r="C12" s="1569"/>
      <c r="D12" s="1623">
        <v>134.5</v>
      </c>
      <c r="E12" s="1619">
        <v>1751</v>
      </c>
      <c r="F12" s="1620">
        <v>1758</v>
      </c>
      <c r="G12" s="1621"/>
    </row>
    <row r="13" spans="1:7" ht="13.5" customHeight="1">
      <c r="A13" s="1409"/>
      <c r="B13" s="1410"/>
      <c r="C13" s="1630"/>
      <c r="D13" s="1412"/>
      <c r="E13" s="1416"/>
      <c r="F13" s="1595"/>
      <c r="G13" s="1596"/>
    </row>
    <row r="14" spans="1:7" ht="13.5" customHeight="1">
      <c r="A14" s="1606" t="s">
        <v>816</v>
      </c>
      <c r="B14" s="1607"/>
      <c r="C14" s="1608"/>
      <c r="D14" s="1601"/>
      <c r="E14" s="1602"/>
      <c r="F14" s="1604"/>
      <c r="G14" s="1605"/>
    </row>
    <row r="15" spans="1:7" ht="13.5" customHeight="1">
      <c r="A15" s="1306">
        <v>2</v>
      </c>
      <c r="B15" s="1305">
        <v>201</v>
      </c>
      <c r="C15" s="1592" t="s">
        <v>347</v>
      </c>
      <c r="D15" s="1303">
        <v>54.8</v>
      </c>
      <c r="E15" s="1293">
        <v>6209</v>
      </c>
      <c r="F15" s="1571">
        <v>6289</v>
      </c>
      <c r="G15" s="1570"/>
    </row>
    <row r="16" spans="1:7" ht="13.5" customHeight="1">
      <c r="A16" s="1306">
        <v>2</v>
      </c>
      <c r="B16" s="1305">
        <v>204</v>
      </c>
      <c r="C16" s="1572" t="s">
        <v>531</v>
      </c>
      <c r="D16" s="1303">
        <v>13.2</v>
      </c>
      <c r="E16" s="1293">
        <v>1834</v>
      </c>
      <c r="F16" s="1571">
        <v>1850</v>
      </c>
      <c r="G16" s="1570"/>
    </row>
    <row r="17" spans="1:7" ht="13.5" customHeight="1">
      <c r="A17" s="1306">
        <v>2</v>
      </c>
      <c r="B17" s="1305">
        <v>205</v>
      </c>
      <c r="C17" s="1572" t="s">
        <v>557</v>
      </c>
      <c r="D17" s="1303">
        <v>13.2</v>
      </c>
      <c r="E17" s="1293">
        <v>1986</v>
      </c>
      <c r="F17" s="1571">
        <v>2006</v>
      </c>
      <c r="G17" s="1570"/>
    </row>
    <row r="18" spans="1:7" ht="13.5" customHeight="1" thickBot="1">
      <c r="A18" s="1409">
        <v>2</v>
      </c>
      <c r="B18" s="1410">
        <v>208</v>
      </c>
      <c r="C18" s="1594" t="s">
        <v>588</v>
      </c>
      <c r="D18" s="1412">
        <v>53.3</v>
      </c>
      <c r="E18" s="1416">
        <v>5708</v>
      </c>
      <c r="F18" s="1595">
        <v>5770</v>
      </c>
      <c r="G18" s="1596"/>
    </row>
    <row r="19" spans="1:7" ht="13.5" customHeight="1" thickTop="1">
      <c r="A19" s="1622" t="s">
        <v>815</v>
      </c>
      <c r="B19" s="1568"/>
      <c r="C19" s="1569"/>
      <c r="D19" s="1623">
        <v>134.5</v>
      </c>
      <c r="E19" s="1619">
        <v>15737</v>
      </c>
      <c r="F19" s="1620">
        <v>15915</v>
      </c>
      <c r="G19" s="1621"/>
    </row>
    <row r="20" spans="1:7" ht="13.5" customHeight="1">
      <c r="A20" s="1306"/>
      <c r="B20" s="1305"/>
      <c r="C20" s="1592"/>
      <c r="D20" s="1303"/>
      <c r="E20" s="1293"/>
      <c r="F20" s="1571"/>
      <c r="G20" s="1570"/>
    </row>
    <row r="21" spans="1:7" ht="13.5" customHeight="1">
      <c r="A21" s="1306"/>
      <c r="B21" s="1305"/>
      <c r="C21" s="1572"/>
      <c r="D21" s="1303"/>
      <c r="E21" s="1293"/>
      <c r="F21" s="1571"/>
      <c r="G21" s="1570"/>
    </row>
    <row r="22" spans="1:7" ht="13.5" customHeight="1">
      <c r="A22" s="1306"/>
      <c r="B22" s="1305"/>
      <c r="C22" s="1572"/>
      <c r="D22" s="1303"/>
      <c r="E22" s="1293"/>
      <c r="F22" s="1571"/>
      <c r="G22" s="1570"/>
    </row>
    <row r="23" spans="1:7" ht="13.5" customHeight="1">
      <c r="A23" s="1306"/>
      <c r="B23" s="1305"/>
      <c r="C23" s="1572"/>
      <c r="D23" s="1303"/>
      <c r="E23" s="1293"/>
      <c r="F23" s="1571"/>
      <c r="G23" s="1570"/>
    </row>
    <row r="24" spans="1:7" ht="13.5" customHeight="1">
      <c r="A24" s="1306"/>
      <c r="B24" s="1305"/>
      <c r="C24" s="1572"/>
      <c r="D24" s="1303"/>
      <c r="E24" s="1293"/>
      <c r="F24" s="1571"/>
      <c r="G24" s="1570"/>
    </row>
    <row r="25" spans="1:7" ht="13.5" customHeight="1">
      <c r="A25" s="1306"/>
      <c r="B25" s="1305"/>
      <c r="C25" s="1572"/>
      <c r="D25" s="1303"/>
      <c r="E25" s="1293"/>
      <c r="F25" s="1571"/>
      <c r="G25" s="1570"/>
    </row>
    <row r="26" spans="1:7" ht="13.5" customHeight="1">
      <c r="A26" s="1306"/>
      <c r="B26" s="1305"/>
      <c r="C26" s="1572"/>
      <c r="D26" s="1303"/>
      <c r="E26" s="1293"/>
      <c r="F26" s="1571"/>
      <c r="G26" s="1570"/>
    </row>
    <row r="27" spans="1:7" ht="13.5" customHeight="1">
      <c r="A27" s="1306"/>
      <c r="B27" s="1305"/>
      <c r="C27" s="1572"/>
      <c r="D27" s="1303"/>
      <c r="E27" s="1293"/>
      <c r="F27" s="1571"/>
      <c r="G27" s="1570"/>
    </row>
    <row r="28" spans="1:7" ht="13.5" customHeight="1">
      <c r="A28" s="1306"/>
      <c r="B28" s="1305"/>
      <c r="C28" s="1572"/>
      <c r="D28" s="1303"/>
      <c r="E28" s="1293"/>
      <c r="F28" s="1571"/>
      <c r="G28" s="1570"/>
    </row>
    <row r="29" spans="1:7" ht="13.5" customHeight="1">
      <c r="A29" s="1306"/>
      <c r="B29" s="1305"/>
      <c r="C29" s="1572"/>
      <c r="D29" s="1303"/>
      <c r="E29" s="1293"/>
      <c r="F29" s="1571"/>
      <c r="G29" s="1570"/>
    </row>
    <row r="30" spans="1:7" ht="13.5" customHeight="1">
      <c r="A30" s="1306"/>
      <c r="B30" s="1305"/>
      <c r="C30" s="1572"/>
      <c r="D30" s="1303"/>
      <c r="E30" s="1293"/>
      <c r="F30" s="1571"/>
      <c r="G30" s="1570"/>
    </row>
    <row r="31" spans="1:7" ht="13.5" customHeight="1">
      <c r="A31" s="1306"/>
      <c r="B31" s="1305"/>
      <c r="C31" s="1572"/>
      <c r="D31" s="1303"/>
      <c r="E31" s="1293"/>
      <c r="F31" s="1571"/>
      <c r="G31" s="1570"/>
    </row>
    <row r="32" spans="1:7" ht="13.5" customHeight="1">
      <c r="A32" s="1306"/>
      <c r="B32" s="1305"/>
      <c r="C32" s="1572"/>
      <c r="D32" s="1303"/>
      <c r="E32" s="1293"/>
      <c r="F32" s="1571"/>
      <c r="G32" s="1570"/>
    </row>
    <row r="33" spans="1:7" ht="13.5" customHeight="1">
      <c r="A33" s="1306"/>
      <c r="B33" s="1305"/>
      <c r="C33" s="1572"/>
      <c r="D33" s="1303"/>
      <c r="E33" s="1293"/>
      <c r="F33" s="1571"/>
      <c r="G33" s="1570"/>
    </row>
    <row r="34" spans="1:7" ht="13.5" customHeight="1">
      <c r="A34" s="1306"/>
      <c r="B34" s="1305"/>
      <c r="C34" s="1572"/>
      <c r="D34" s="1303"/>
      <c r="E34" s="1293"/>
      <c r="F34" s="1571"/>
      <c r="G34" s="1570"/>
    </row>
    <row r="35" spans="1:7" ht="13.5" customHeight="1">
      <c r="A35" s="1306"/>
      <c r="B35" s="1305"/>
      <c r="C35" s="1572"/>
      <c r="D35" s="1303"/>
      <c r="E35" s="1293"/>
      <c r="F35" s="1571"/>
      <c r="G35" s="1570"/>
    </row>
    <row r="36" spans="1:7" ht="13.5" customHeight="1">
      <c r="A36" s="1306"/>
      <c r="B36" s="1305"/>
      <c r="C36" s="1572"/>
      <c r="D36" s="1303"/>
      <c r="E36" s="1293"/>
      <c r="F36" s="1571"/>
      <c r="G36" s="1570"/>
    </row>
    <row r="37" spans="1:7" ht="13.5" customHeight="1" thickBot="1">
      <c r="A37" s="1409"/>
      <c r="B37" s="1410"/>
      <c r="C37" s="1594"/>
      <c r="D37" s="1412"/>
      <c r="E37" s="1416"/>
      <c r="F37" s="1595"/>
      <c r="G37" s="1596"/>
    </row>
    <row r="38" spans="1:7" ht="18.95" customHeight="1" thickTop="1" thickBot="1">
      <c r="A38" s="1657" t="s">
        <v>831</v>
      </c>
      <c r="B38" s="1650"/>
      <c r="C38" s="1651"/>
      <c r="D38" s="1658">
        <v>134.5</v>
      </c>
      <c r="E38" s="1659">
        <v>17488</v>
      </c>
      <c r="F38" s="1661">
        <v>17673</v>
      </c>
      <c r="G38" s="1695"/>
    </row>
    <row r="39" spans="1:7" ht="13.5" customHeight="1" thickTop="1">
      <c r="A39" s="1657" t="s">
        <v>822</v>
      </c>
      <c r="B39" s="1650"/>
      <c r="C39" s="1651"/>
      <c r="D39" s="1658">
        <v>134.5</v>
      </c>
      <c r="E39" s="1659">
        <v>18</v>
      </c>
      <c r="F39" s="1661">
        <v>18</v>
      </c>
      <c r="G39" s="1662"/>
    </row>
    <row r="40" spans="1:7" ht="13.5" customHeight="1">
      <c r="A40" s="1663" t="s">
        <v>823</v>
      </c>
      <c r="B40" s="1593"/>
      <c r="C40" s="1664"/>
      <c r="D40" s="1665">
        <v>134.5</v>
      </c>
      <c r="E40" s="1666">
        <v>130</v>
      </c>
      <c r="F40" s="1669">
        <v>131</v>
      </c>
      <c r="G40" s="1668"/>
    </row>
    <row r="46" spans="1:7" s="1276" customFormat="1" ht="13.5" customHeight="1">
      <c r="C46" s="1283"/>
      <c r="D46" s="1283"/>
      <c r="E46" s="1283"/>
      <c r="F46" s="1280"/>
    </row>
    <row r="47" spans="1:7" s="1276" customFormat="1" ht="13.5" customHeight="1">
      <c r="C47" s="1283"/>
      <c r="D47" s="1283"/>
      <c r="E47" s="1283"/>
      <c r="F47" s="1280"/>
    </row>
    <row r="48" spans="1:7" s="1276" customFormat="1" ht="13.5" customHeight="1">
      <c r="C48" s="1283"/>
      <c r="D48" s="1283"/>
      <c r="E48" s="1283"/>
      <c r="F48" s="1280"/>
    </row>
    <row r="49" spans="3:5" s="1276" customFormat="1" ht="13.5" customHeight="1">
      <c r="C49" s="1281"/>
      <c r="D49" s="1281"/>
      <c r="E49" s="1281"/>
    </row>
  </sheetData>
  <mergeCells count="14">
    <mergeCell ref="A39:C39"/>
    <mergeCell ref="A40:C40"/>
    <mergeCell ref="A6:C6"/>
    <mergeCell ref="C11:D11"/>
    <mergeCell ref="A12:C12"/>
    <mergeCell ref="A14:C14"/>
    <mergeCell ref="A19:C19"/>
    <mergeCell ref="A38:C38"/>
    <mergeCell ref="A4:A5"/>
    <mergeCell ref="B4:B5"/>
    <mergeCell ref="C4:C5"/>
    <mergeCell ref="D4:D5"/>
    <mergeCell ref="E4:F4"/>
    <mergeCell ref="G4:G5"/>
  </mergeCells>
  <phoneticPr fontId="3"/>
  <printOptions horizontalCentered="1"/>
  <pageMargins left="0.39370078740157483" right="0.39370078740157483" top="0.78740157480314965" bottom="0.55118110236220474" header="0.31496062992125984" footer="0.31496062992125984"/>
  <pageSetup paperSize="9" scale="87" orientation="landscape" horizontalDpi="1200" verticalDpi="1200" r:id="rId1"/>
  <headerFooter scaleWithDoc="0">
    <oddFooter>&amp;C&amp;"ＭＳ Ｐゴシック,標準"&amp;9( &amp;P / &amp;N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51"/>
  <sheetViews>
    <sheetView showGridLines="0" zoomScale="80" zoomScaleNormal="80" workbookViewId="0">
      <pane xSplit="4" ySplit="6" topLeftCell="E7" activePane="bottomRight" state="frozenSplit"/>
      <selection pane="topRight" activeCell="N1" sqref="N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5" width="13.5703125" style="1276" customWidth="1"/>
    <col min="6" max="6" width="7.7109375" style="1276" customWidth="1"/>
    <col min="7" max="8" width="10.7109375" style="1276" customWidth="1"/>
    <col min="9" max="17" width="7.7109375" style="1276" customWidth="1"/>
    <col min="18" max="18" width="14.7109375" style="1276" customWidth="1"/>
    <col min="19" max="16384" width="9.140625" style="1272"/>
  </cols>
  <sheetData>
    <row r="1" spans="1:18" s="1713" customFormat="1" ht="21" customHeight="1">
      <c r="A1" s="1719" t="s">
        <v>843</v>
      </c>
      <c r="B1" s="1718"/>
      <c r="C1" s="1717"/>
      <c r="D1" s="1716"/>
      <c r="E1" s="1715"/>
      <c r="F1" s="1715"/>
      <c r="G1" s="1715"/>
      <c r="H1" s="1715"/>
      <c r="I1" s="1715"/>
      <c r="J1" s="1715"/>
      <c r="K1" s="1715"/>
      <c r="L1" s="1715"/>
      <c r="M1" s="1715"/>
      <c r="N1" s="1715"/>
      <c r="O1" s="1715"/>
      <c r="P1" s="1715"/>
      <c r="Q1" s="1715"/>
      <c r="R1" s="1714"/>
    </row>
    <row r="4" spans="1:18" ht="13.5" customHeight="1">
      <c r="A4" s="1380" t="s">
        <v>372</v>
      </c>
      <c r="B4" s="1379" t="s">
        <v>358</v>
      </c>
      <c r="C4" s="1544" t="s">
        <v>631</v>
      </c>
      <c r="D4" s="1712" t="s">
        <v>630</v>
      </c>
      <c r="E4" s="1371" t="s">
        <v>842</v>
      </c>
      <c r="F4" s="1370"/>
      <c r="G4" s="1370"/>
      <c r="H4" s="1370"/>
      <c r="I4" s="1374"/>
      <c r="J4" s="1371" t="s">
        <v>841</v>
      </c>
      <c r="K4" s="1370"/>
      <c r="L4" s="1370"/>
      <c r="M4" s="1370"/>
      <c r="N4" s="1370"/>
      <c r="O4" s="1370"/>
      <c r="P4" s="1370"/>
      <c r="Q4" s="1374"/>
      <c r="R4" s="1540" t="s">
        <v>797</v>
      </c>
    </row>
    <row r="5" spans="1:18" ht="13.5" customHeight="1">
      <c r="A5" s="1348"/>
      <c r="B5" s="1347"/>
      <c r="C5" s="1537"/>
      <c r="D5" s="1702"/>
      <c r="E5" s="1711" t="s">
        <v>840</v>
      </c>
      <c r="F5" s="1710" t="s">
        <v>839</v>
      </c>
      <c r="G5" s="1710" t="s">
        <v>838</v>
      </c>
      <c r="H5" s="1710" t="s">
        <v>837</v>
      </c>
      <c r="I5" s="1709" t="s">
        <v>836</v>
      </c>
      <c r="J5" s="1708" t="s">
        <v>34</v>
      </c>
      <c r="K5" s="1707"/>
      <c r="L5" s="1707"/>
      <c r="M5" s="1706"/>
      <c r="N5" s="1705" t="s">
        <v>46</v>
      </c>
      <c r="O5" s="1704"/>
      <c r="P5" s="1704"/>
      <c r="Q5" s="1703"/>
      <c r="R5" s="1532"/>
    </row>
    <row r="6" spans="1:18" ht="33.75">
      <c r="A6" s="1348"/>
      <c r="B6" s="1347"/>
      <c r="C6" s="1537"/>
      <c r="D6" s="1702"/>
      <c r="E6" s="1720"/>
      <c r="F6" s="1346"/>
      <c r="G6" s="1346"/>
      <c r="H6" s="1346"/>
      <c r="I6" s="1590"/>
      <c r="J6" s="1701" t="s">
        <v>835</v>
      </c>
      <c r="K6" s="1701" t="s">
        <v>834</v>
      </c>
      <c r="L6" s="1701" t="s">
        <v>833</v>
      </c>
      <c r="M6" s="1700" t="s">
        <v>832</v>
      </c>
      <c r="N6" s="1701" t="s">
        <v>835</v>
      </c>
      <c r="O6" s="1701" t="s">
        <v>834</v>
      </c>
      <c r="P6" s="1701" t="s">
        <v>833</v>
      </c>
      <c r="Q6" s="1700" t="s">
        <v>832</v>
      </c>
      <c r="R6" s="1532"/>
    </row>
    <row r="7" spans="1:18" ht="13.5" customHeight="1">
      <c r="A7" s="1606" t="s">
        <v>812</v>
      </c>
      <c r="B7" s="1607"/>
      <c r="C7" s="1608"/>
      <c r="D7" s="1601"/>
      <c r="E7" s="1721"/>
      <c r="F7" s="1722"/>
      <c r="G7" s="1722"/>
      <c r="H7" s="1722"/>
      <c r="I7" s="1600"/>
      <c r="J7" s="1723"/>
      <c r="K7" s="1723"/>
      <c r="L7" s="1723"/>
      <c r="M7" s="1724"/>
      <c r="N7" s="1723"/>
      <c r="O7" s="1723"/>
      <c r="P7" s="1723"/>
      <c r="Q7" s="1724"/>
      <c r="R7" s="1725"/>
    </row>
    <row r="8" spans="1:18" ht="13.5" customHeight="1">
      <c r="A8" s="1306">
        <v>2</v>
      </c>
      <c r="B8" s="1305">
        <v>201</v>
      </c>
      <c r="C8" s="1592" t="s">
        <v>347</v>
      </c>
      <c r="D8" s="1303">
        <v>54.8</v>
      </c>
      <c r="E8" s="1699" t="s">
        <v>844</v>
      </c>
      <c r="F8" s="1698">
        <v>60</v>
      </c>
      <c r="G8" s="1698"/>
      <c r="H8" s="1698"/>
      <c r="I8" s="1592"/>
      <c r="J8" s="1697">
        <v>1.1000000000000001</v>
      </c>
      <c r="K8" s="1697">
        <v>1.9</v>
      </c>
      <c r="L8" s="1697"/>
      <c r="M8" s="1696"/>
      <c r="N8" s="1697">
        <v>0.8</v>
      </c>
      <c r="O8" s="1697">
        <v>1.4</v>
      </c>
      <c r="P8" s="1697"/>
      <c r="Q8" s="1696"/>
      <c r="R8" s="1289"/>
    </row>
    <row r="9" spans="1:18" ht="13.5" customHeight="1">
      <c r="A9" s="1306">
        <v>2</v>
      </c>
      <c r="B9" s="1305">
        <v>204</v>
      </c>
      <c r="C9" s="1572" t="s">
        <v>531</v>
      </c>
      <c r="D9" s="1303">
        <v>13.2</v>
      </c>
      <c r="E9" s="1699" t="s">
        <v>844</v>
      </c>
      <c r="F9" s="1698">
        <v>60</v>
      </c>
      <c r="G9" s="1698"/>
      <c r="H9" s="1698"/>
      <c r="I9" s="1592"/>
      <c r="J9" s="1697">
        <v>0.7</v>
      </c>
      <c r="K9" s="1697">
        <v>1.2</v>
      </c>
      <c r="L9" s="1697"/>
      <c r="M9" s="1696"/>
      <c r="N9" s="1697">
        <v>0.5</v>
      </c>
      <c r="O9" s="1697">
        <v>0.9</v>
      </c>
      <c r="P9" s="1697"/>
      <c r="Q9" s="1696"/>
      <c r="R9" s="1289"/>
    </row>
    <row r="10" spans="1:18" ht="13.5" customHeight="1">
      <c r="A10" s="1306">
        <v>2</v>
      </c>
      <c r="B10" s="1305">
        <v>205</v>
      </c>
      <c r="C10" s="1572" t="s">
        <v>557</v>
      </c>
      <c r="D10" s="1303">
        <v>13.2</v>
      </c>
      <c r="E10" s="1699" t="s">
        <v>844</v>
      </c>
      <c r="F10" s="1698">
        <v>60</v>
      </c>
      <c r="G10" s="1698"/>
      <c r="H10" s="1698"/>
      <c r="I10" s="1592"/>
      <c r="J10" s="1697">
        <v>0.7</v>
      </c>
      <c r="K10" s="1697">
        <v>1.2</v>
      </c>
      <c r="L10" s="1697"/>
      <c r="M10" s="1696"/>
      <c r="N10" s="1697">
        <v>0.5</v>
      </c>
      <c r="O10" s="1697">
        <v>0.9</v>
      </c>
      <c r="P10" s="1697"/>
      <c r="Q10" s="1696"/>
      <c r="R10" s="1289"/>
    </row>
    <row r="11" spans="1:18" ht="13.5" customHeight="1">
      <c r="A11" s="1409">
        <v>2</v>
      </c>
      <c r="B11" s="1305">
        <v>208</v>
      </c>
      <c r="C11" s="1572" t="s">
        <v>588</v>
      </c>
      <c r="D11" s="1303">
        <v>53.3</v>
      </c>
      <c r="E11" s="1699" t="s">
        <v>844</v>
      </c>
      <c r="F11" s="1698">
        <v>60</v>
      </c>
      <c r="G11" s="1698"/>
      <c r="H11" s="1698"/>
      <c r="I11" s="1592"/>
      <c r="J11" s="1697">
        <v>0.7</v>
      </c>
      <c r="K11" s="1697">
        <v>1.2</v>
      </c>
      <c r="L11" s="1697"/>
      <c r="M11" s="1696"/>
      <c r="N11" s="1697">
        <v>0.5</v>
      </c>
      <c r="O11" s="1697">
        <v>0.9</v>
      </c>
      <c r="P11" s="1697"/>
      <c r="Q11" s="1696"/>
      <c r="R11" s="1289"/>
    </row>
    <row r="12" spans="1:18" ht="13.5" customHeight="1" thickBot="1">
      <c r="A12" s="1691"/>
      <c r="B12" s="1692"/>
      <c r="C12" s="1693" t="s">
        <v>845</v>
      </c>
      <c r="D12" s="1694"/>
      <c r="E12" s="1726" t="s">
        <v>97</v>
      </c>
      <c r="F12" s="1727">
        <v>60</v>
      </c>
      <c r="G12" s="1727"/>
      <c r="H12" s="1727"/>
      <c r="I12" s="1630"/>
      <c r="J12" s="1728">
        <v>-0.7</v>
      </c>
      <c r="K12" s="1728">
        <v>-1.2</v>
      </c>
      <c r="L12" s="1728"/>
      <c r="M12" s="1729"/>
      <c r="N12" s="1728">
        <v>-0.7</v>
      </c>
      <c r="O12" s="1728">
        <v>-1.2</v>
      </c>
      <c r="P12" s="1728"/>
      <c r="Q12" s="1729"/>
      <c r="R12" s="1426"/>
    </row>
    <row r="13" spans="1:18" ht="13.5" customHeight="1" thickTop="1">
      <c r="A13" s="1622" t="s">
        <v>815</v>
      </c>
      <c r="B13" s="1568"/>
      <c r="C13" s="1569"/>
      <c r="D13" s="1623">
        <v>134.5</v>
      </c>
      <c r="E13" s="1730"/>
      <c r="F13" s="1618"/>
      <c r="G13" s="1618"/>
      <c r="H13" s="1618"/>
      <c r="I13" s="1618"/>
      <c r="J13" s="1731">
        <v>2.5</v>
      </c>
      <c r="K13" s="1732">
        <v>4.3</v>
      </c>
      <c r="L13" s="1732">
        <v>0</v>
      </c>
      <c r="M13" s="1732">
        <v>0</v>
      </c>
      <c r="N13" s="1731">
        <v>1.5999999999999999</v>
      </c>
      <c r="O13" s="1732">
        <v>2.8999999999999995</v>
      </c>
      <c r="P13" s="1732">
        <v>0</v>
      </c>
      <c r="Q13" s="1732">
        <v>0</v>
      </c>
      <c r="R13" s="1733"/>
    </row>
    <row r="14" spans="1:18" ht="13.5" customHeight="1">
      <c r="A14" s="1306"/>
      <c r="B14" s="1305"/>
      <c r="C14" s="1592"/>
      <c r="D14" s="1303"/>
      <c r="E14" s="1699"/>
      <c r="F14" s="1698"/>
      <c r="G14" s="1698"/>
      <c r="H14" s="1698"/>
      <c r="I14" s="1592"/>
      <c r="J14" s="1697"/>
      <c r="K14" s="1697"/>
      <c r="L14" s="1697"/>
      <c r="M14" s="1696"/>
      <c r="N14" s="1697"/>
      <c r="O14" s="1697"/>
      <c r="P14" s="1697"/>
      <c r="Q14" s="1696"/>
      <c r="R14" s="1289"/>
    </row>
    <row r="15" spans="1:18" ht="13.5" customHeight="1">
      <c r="A15" s="1306"/>
      <c r="B15" s="1305"/>
      <c r="C15" s="1572"/>
      <c r="D15" s="1303"/>
      <c r="E15" s="1699"/>
      <c r="F15" s="1698"/>
      <c r="G15" s="1698"/>
      <c r="H15" s="1698"/>
      <c r="I15" s="1592"/>
      <c r="J15" s="1697"/>
      <c r="K15" s="1697"/>
      <c r="L15" s="1697"/>
      <c r="M15" s="1696"/>
      <c r="N15" s="1697"/>
      <c r="O15" s="1697"/>
      <c r="P15" s="1697"/>
      <c r="Q15" s="1696"/>
      <c r="R15" s="1289"/>
    </row>
    <row r="16" spans="1:18" ht="13.5" customHeight="1">
      <c r="A16" s="1306"/>
      <c r="B16" s="1305"/>
      <c r="C16" s="1572"/>
      <c r="D16" s="1303"/>
      <c r="E16" s="1699"/>
      <c r="F16" s="1698"/>
      <c r="G16" s="1698"/>
      <c r="H16" s="1698"/>
      <c r="I16" s="1592"/>
      <c r="J16" s="1697"/>
      <c r="K16" s="1697"/>
      <c r="L16" s="1697"/>
      <c r="M16" s="1696"/>
      <c r="N16" s="1697"/>
      <c r="O16" s="1697"/>
      <c r="P16" s="1697"/>
      <c r="Q16" s="1696"/>
      <c r="R16" s="1289"/>
    </row>
    <row r="17" spans="1:18" ht="13.5" customHeight="1">
      <c r="A17" s="1306"/>
      <c r="B17" s="1305"/>
      <c r="C17" s="1572"/>
      <c r="D17" s="1303"/>
      <c r="E17" s="1699"/>
      <c r="F17" s="1698"/>
      <c r="G17" s="1698"/>
      <c r="H17" s="1698"/>
      <c r="I17" s="1592"/>
      <c r="J17" s="1697"/>
      <c r="K17" s="1697"/>
      <c r="L17" s="1697"/>
      <c r="M17" s="1696"/>
      <c r="N17" s="1697"/>
      <c r="O17" s="1697"/>
      <c r="P17" s="1697"/>
      <c r="Q17" s="1696"/>
      <c r="R17" s="1289"/>
    </row>
    <row r="18" spans="1:18" ht="13.5" customHeight="1">
      <c r="A18" s="1306"/>
      <c r="B18" s="1305"/>
      <c r="C18" s="1572"/>
      <c r="D18" s="1303"/>
      <c r="E18" s="1699"/>
      <c r="F18" s="1698"/>
      <c r="G18" s="1698"/>
      <c r="H18" s="1698"/>
      <c r="I18" s="1592"/>
      <c r="J18" s="1697"/>
      <c r="K18" s="1697"/>
      <c r="L18" s="1697"/>
      <c r="M18" s="1696"/>
      <c r="N18" s="1697"/>
      <c r="O18" s="1697"/>
      <c r="P18" s="1697"/>
      <c r="Q18" s="1696"/>
      <c r="R18" s="1289"/>
    </row>
    <row r="19" spans="1:18" ht="13.5" customHeight="1">
      <c r="A19" s="1306"/>
      <c r="B19" s="1305"/>
      <c r="C19" s="1572"/>
      <c r="D19" s="1303"/>
      <c r="E19" s="1699"/>
      <c r="F19" s="1698"/>
      <c r="G19" s="1698"/>
      <c r="H19" s="1698"/>
      <c r="I19" s="1592"/>
      <c r="J19" s="1697"/>
      <c r="K19" s="1697"/>
      <c r="L19" s="1697"/>
      <c r="M19" s="1696"/>
      <c r="N19" s="1697"/>
      <c r="O19" s="1697"/>
      <c r="P19" s="1697"/>
      <c r="Q19" s="1696"/>
      <c r="R19" s="1289"/>
    </row>
    <row r="20" spans="1:18" ht="13.5" customHeight="1">
      <c r="A20" s="1306"/>
      <c r="B20" s="1305"/>
      <c r="C20" s="1572"/>
      <c r="D20" s="1303"/>
      <c r="E20" s="1699"/>
      <c r="F20" s="1698"/>
      <c r="G20" s="1698"/>
      <c r="H20" s="1698"/>
      <c r="I20" s="1592"/>
      <c r="J20" s="1697"/>
      <c r="K20" s="1697"/>
      <c r="L20" s="1697"/>
      <c r="M20" s="1696"/>
      <c r="N20" s="1697"/>
      <c r="O20" s="1697"/>
      <c r="P20" s="1697"/>
      <c r="Q20" s="1696"/>
      <c r="R20" s="1289"/>
    </row>
    <row r="21" spans="1:18" ht="13.5" customHeight="1">
      <c r="A21" s="1306"/>
      <c r="B21" s="1305"/>
      <c r="C21" s="1572"/>
      <c r="D21" s="1303"/>
      <c r="E21" s="1699"/>
      <c r="F21" s="1698"/>
      <c r="G21" s="1698"/>
      <c r="H21" s="1698"/>
      <c r="I21" s="1592"/>
      <c r="J21" s="1697"/>
      <c r="K21" s="1697"/>
      <c r="L21" s="1697"/>
      <c r="M21" s="1696"/>
      <c r="N21" s="1697"/>
      <c r="O21" s="1697"/>
      <c r="P21" s="1697"/>
      <c r="Q21" s="1696"/>
      <c r="R21" s="1289"/>
    </row>
    <row r="22" spans="1:18" ht="13.5" customHeight="1">
      <c r="A22" s="1306"/>
      <c r="B22" s="1305"/>
      <c r="C22" s="1572"/>
      <c r="D22" s="1303"/>
      <c r="E22" s="1699"/>
      <c r="F22" s="1698"/>
      <c r="G22" s="1698"/>
      <c r="H22" s="1698"/>
      <c r="I22" s="1592"/>
      <c r="J22" s="1697"/>
      <c r="K22" s="1697"/>
      <c r="L22" s="1697"/>
      <c r="M22" s="1696"/>
      <c r="N22" s="1697"/>
      <c r="O22" s="1697"/>
      <c r="P22" s="1697"/>
      <c r="Q22" s="1696"/>
      <c r="R22" s="1289"/>
    </row>
    <row r="23" spans="1:18" ht="13.5" customHeight="1">
      <c r="A23" s="1306"/>
      <c r="B23" s="1305"/>
      <c r="C23" s="1572"/>
      <c r="D23" s="1303"/>
      <c r="E23" s="1699"/>
      <c r="F23" s="1698"/>
      <c r="G23" s="1698"/>
      <c r="H23" s="1698"/>
      <c r="I23" s="1592"/>
      <c r="J23" s="1697"/>
      <c r="K23" s="1697"/>
      <c r="L23" s="1697"/>
      <c r="M23" s="1696"/>
      <c r="N23" s="1697"/>
      <c r="O23" s="1697"/>
      <c r="P23" s="1697"/>
      <c r="Q23" s="1696"/>
      <c r="R23" s="1289"/>
    </row>
    <row r="24" spans="1:18" ht="13.5" customHeight="1">
      <c r="A24" s="1306"/>
      <c r="B24" s="1305"/>
      <c r="C24" s="1572"/>
      <c r="D24" s="1303"/>
      <c r="E24" s="1699"/>
      <c r="F24" s="1698"/>
      <c r="G24" s="1698"/>
      <c r="H24" s="1698"/>
      <c r="I24" s="1592"/>
      <c r="J24" s="1697"/>
      <c r="K24" s="1697"/>
      <c r="L24" s="1697"/>
      <c r="M24" s="1696"/>
      <c r="N24" s="1697"/>
      <c r="O24" s="1697"/>
      <c r="P24" s="1697"/>
      <c r="Q24" s="1696"/>
      <c r="R24" s="1289"/>
    </row>
    <row r="25" spans="1:18" ht="13.5" customHeight="1">
      <c r="A25" s="1306"/>
      <c r="B25" s="1305"/>
      <c r="C25" s="1572"/>
      <c r="D25" s="1303"/>
      <c r="E25" s="1699"/>
      <c r="F25" s="1698"/>
      <c r="G25" s="1698"/>
      <c r="H25" s="1698"/>
      <c r="I25" s="1592"/>
      <c r="J25" s="1697"/>
      <c r="K25" s="1697"/>
      <c r="L25" s="1697"/>
      <c r="M25" s="1696"/>
      <c r="N25" s="1697"/>
      <c r="O25" s="1697"/>
      <c r="P25" s="1697"/>
      <c r="Q25" s="1696"/>
      <c r="R25" s="1289"/>
    </row>
    <row r="26" spans="1:18" ht="13.5" customHeight="1">
      <c r="A26" s="1306"/>
      <c r="B26" s="1305"/>
      <c r="C26" s="1572"/>
      <c r="D26" s="1303"/>
      <c r="E26" s="1699"/>
      <c r="F26" s="1698"/>
      <c r="G26" s="1698"/>
      <c r="H26" s="1698"/>
      <c r="I26" s="1592"/>
      <c r="J26" s="1697"/>
      <c r="K26" s="1697"/>
      <c r="L26" s="1697"/>
      <c r="M26" s="1696"/>
      <c r="N26" s="1697"/>
      <c r="O26" s="1697"/>
      <c r="P26" s="1697"/>
      <c r="Q26" s="1696"/>
      <c r="R26" s="1289"/>
    </row>
    <row r="27" spans="1:18" ht="13.5" customHeight="1">
      <c r="A27" s="1306"/>
      <c r="B27" s="1305"/>
      <c r="C27" s="1572"/>
      <c r="D27" s="1303"/>
      <c r="E27" s="1699"/>
      <c r="F27" s="1698"/>
      <c r="G27" s="1698"/>
      <c r="H27" s="1698"/>
      <c r="I27" s="1592"/>
      <c r="J27" s="1697"/>
      <c r="K27" s="1697"/>
      <c r="L27" s="1697"/>
      <c r="M27" s="1696"/>
      <c r="N27" s="1697"/>
      <c r="O27" s="1697"/>
      <c r="P27" s="1697"/>
      <c r="Q27" s="1696"/>
      <c r="R27" s="1289"/>
    </row>
    <row r="28" spans="1:18" ht="13.5" customHeight="1">
      <c r="A28" s="1306"/>
      <c r="B28" s="1305"/>
      <c r="C28" s="1572"/>
      <c r="D28" s="1303"/>
      <c r="E28" s="1699"/>
      <c r="F28" s="1698"/>
      <c r="G28" s="1698"/>
      <c r="H28" s="1698"/>
      <c r="I28" s="1592"/>
      <c r="J28" s="1697"/>
      <c r="K28" s="1697"/>
      <c r="L28" s="1697"/>
      <c r="M28" s="1696"/>
      <c r="N28" s="1697"/>
      <c r="O28" s="1697"/>
      <c r="P28" s="1697"/>
      <c r="Q28" s="1696"/>
      <c r="R28" s="1289"/>
    </row>
    <row r="29" spans="1:18" ht="13.5" customHeight="1">
      <c r="A29" s="1306"/>
      <c r="B29" s="1305"/>
      <c r="C29" s="1572"/>
      <c r="D29" s="1303"/>
      <c r="E29" s="1699"/>
      <c r="F29" s="1698"/>
      <c r="G29" s="1698"/>
      <c r="H29" s="1698"/>
      <c r="I29" s="1592"/>
      <c r="J29" s="1697"/>
      <c r="K29" s="1697"/>
      <c r="L29" s="1697"/>
      <c r="M29" s="1696"/>
      <c r="N29" s="1697"/>
      <c r="O29" s="1697"/>
      <c r="P29" s="1697"/>
      <c r="Q29" s="1696"/>
      <c r="R29" s="1289"/>
    </row>
    <row r="30" spans="1:18" ht="13.5" customHeight="1">
      <c r="A30" s="1306"/>
      <c r="B30" s="1305"/>
      <c r="C30" s="1572"/>
      <c r="D30" s="1303"/>
      <c r="E30" s="1699"/>
      <c r="F30" s="1698"/>
      <c r="G30" s="1698"/>
      <c r="H30" s="1698"/>
      <c r="I30" s="1592"/>
      <c r="J30" s="1697"/>
      <c r="K30" s="1697"/>
      <c r="L30" s="1697"/>
      <c r="M30" s="1696"/>
      <c r="N30" s="1697"/>
      <c r="O30" s="1697"/>
      <c r="P30" s="1697"/>
      <c r="Q30" s="1696"/>
      <c r="R30" s="1289"/>
    </row>
    <row r="31" spans="1:18" ht="13.5" customHeight="1">
      <c r="A31" s="1306"/>
      <c r="B31" s="1305"/>
      <c r="C31" s="1572"/>
      <c r="D31" s="1303"/>
      <c r="E31" s="1699"/>
      <c r="F31" s="1698"/>
      <c r="G31" s="1698"/>
      <c r="H31" s="1698"/>
      <c r="I31" s="1592"/>
      <c r="J31" s="1697"/>
      <c r="K31" s="1697"/>
      <c r="L31" s="1697"/>
      <c r="M31" s="1696"/>
      <c r="N31" s="1697"/>
      <c r="O31" s="1697"/>
      <c r="P31" s="1697"/>
      <c r="Q31" s="1696"/>
      <c r="R31" s="1289"/>
    </row>
    <row r="32" spans="1:18" ht="13.5" customHeight="1">
      <c r="A32" s="1306"/>
      <c r="B32" s="1305"/>
      <c r="C32" s="1572"/>
      <c r="D32" s="1303"/>
      <c r="E32" s="1699"/>
      <c r="F32" s="1698"/>
      <c r="G32" s="1698"/>
      <c r="H32" s="1698"/>
      <c r="I32" s="1592"/>
      <c r="J32" s="1697"/>
      <c r="K32" s="1697"/>
      <c r="L32" s="1697"/>
      <c r="M32" s="1696"/>
      <c r="N32" s="1697"/>
      <c r="O32" s="1697"/>
      <c r="P32" s="1697"/>
      <c r="Q32" s="1696"/>
      <c r="R32" s="1289"/>
    </row>
    <row r="33" spans="1:18" ht="13.5" customHeight="1">
      <c r="A33" s="1306"/>
      <c r="B33" s="1305"/>
      <c r="C33" s="1572"/>
      <c r="D33" s="1303"/>
      <c r="E33" s="1699"/>
      <c r="F33" s="1698"/>
      <c r="G33" s="1698"/>
      <c r="H33" s="1698"/>
      <c r="I33" s="1592"/>
      <c r="J33" s="1697"/>
      <c r="K33" s="1697"/>
      <c r="L33" s="1697"/>
      <c r="M33" s="1696"/>
      <c r="N33" s="1697"/>
      <c r="O33" s="1697"/>
      <c r="P33" s="1697"/>
      <c r="Q33" s="1696"/>
      <c r="R33" s="1289"/>
    </row>
    <row r="34" spans="1:18" ht="13.5" customHeight="1">
      <c r="A34" s="1306"/>
      <c r="B34" s="1305"/>
      <c r="C34" s="1572"/>
      <c r="D34" s="1303"/>
      <c r="E34" s="1699"/>
      <c r="F34" s="1698"/>
      <c r="G34" s="1698"/>
      <c r="H34" s="1698"/>
      <c r="I34" s="1592"/>
      <c r="J34" s="1697"/>
      <c r="K34" s="1697"/>
      <c r="L34" s="1697"/>
      <c r="M34" s="1696"/>
      <c r="N34" s="1697"/>
      <c r="O34" s="1697"/>
      <c r="P34" s="1697"/>
      <c r="Q34" s="1696"/>
      <c r="R34" s="1289"/>
    </row>
    <row r="35" spans="1:18" ht="13.5" customHeight="1">
      <c r="A35" s="1306"/>
      <c r="B35" s="1305"/>
      <c r="C35" s="1572"/>
      <c r="D35" s="1303"/>
      <c r="E35" s="1699"/>
      <c r="F35" s="1698"/>
      <c r="G35" s="1698"/>
      <c r="H35" s="1698"/>
      <c r="I35" s="1592"/>
      <c r="J35" s="1697"/>
      <c r="K35" s="1697"/>
      <c r="L35" s="1697"/>
      <c r="M35" s="1696"/>
      <c r="N35" s="1697"/>
      <c r="O35" s="1697"/>
      <c r="P35" s="1697"/>
      <c r="Q35" s="1696"/>
      <c r="R35" s="1289"/>
    </row>
    <row r="36" spans="1:18" ht="13.5" customHeight="1">
      <c r="A36" s="1306"/>
      <c r="B36" s="1305"/>
      <c r="C36" s="1572"/>
      <c r="D36" s="1303"/>
      <c r="E36" s="1699"/>
      <c r="F36" s="1698"/>
      <c r="G36" s="1698"/>
      <c r="H36" s="1698"/>
      <c r="I36" s="1592"/>
      <c r="J36" s="1697"/>
      <c r="K36" s="1697"/>
      <c r="L36" s="1697"/>
      <c r="M36" s="1696"/>
      <c r="N36" s="1697"/>
      <c r="O36" s="1697"/>
      <c r="P36" s="1697"/>
      <c r="Q36" s="1696"/>
      <c r="R36" s="1289"/>
    </row>
    <row r="37" spans="1:18" ht="13.5" customHeight="1">
      <c r="A37" s="1306"/>
      <c r="B37" s="1305"/>
      <c r="C37" s="1572"/>
      <c r="D37" s="1303"/>
      <c r="E37" s="1699"/>
      <c r="F37" s="1698"/>
      <c r="G37" s="1698"/>
      <c r="H37" s="1698"/>
      <c r="I37" s="1592"/>
      <c r="J37" s="1697"/>
      <c r="K37" s="1697"/>
      <c r="L37" s="1697"/>
      <c r="M37" s="1696"/>
      <c r="N37" s="1697"/>
      <c r="O37" s="1697"/>
      <c r="P37" s="1697"/>
      <c r="Q37" s="1696"/>
      <c r="R37" s="1289"/>
    </row>
    <row r="38" spans="1:18" ht="13.5" customHeight="1" thickBot="1">
      <c r="A38" s="1409"/>
      <c r="B38" s="1410"/>
      <c r="C38" s="1594"/>
      <c r="D38" s="1412"/>
      <c r="E38" s="1726"/>
      <c r="F38" s="1727"/>
      <c r="G38" s="1727"/>
      <c r="H38" s="1727"/>
      <c r="I38" s="1630"/>
      <c r="J38" s="1728"/>
      <c r="K38" s="1728"/>
      <c r="L38" s="1728"/>
      <c r="M38" s="1729"/>
      <c r="N38" s="1728"/>
      <c r="O38" s="1728"/>
      <c r="P38" s="1728"/>
      <c r="Q38" s="1729"/>
      <c r="R38" s="1426"/>
    </row>
    <row r="39" spans="1:18" ht="18.95" customHeight="1" thickTop="1">
      <c r="A39" s="1657" t="s">
        <v>831</v>
      </c>
      <c r="B39" s="1650"/>
      <c r="C39" s="1651"/>
      <c r="D39" s="1658">
        <v>134.5</v>
      </c>
      <c r="E39" s="1734"/>
      <c r="F39" s="1735"/>
      <c r="G39" s="1735"/>
      <c r="H39" s="1735"/>
      <c r="I39" s="1735"/>
      <c r="J39" s="1736">
        <v>2.5</v>
      </c>
      <c r="K39" s="1737">
        <v>4.3</v>
      </c>
      <c r="L39" s="1738">
        <v>0</v>
      </c>
      <c r="M39" s="1738">
        <v>0</v>
      </c>
      <c r="N39" s="1734">
        <v>1.5999999999999999</v>
      </c>
      <c r="O39" s="1738">
        <v>2.8999999999999995</v>
      </c>
      <c r="P39" s="1738">
        <v>0</v>
      </c>
      <c r="Q39" s="1738">
        <v>0</v>
      </c>
      <c r="R39" s="1739"/>
    </row>
    <row r="40" spans="1:18" ht="13.5" customHeight="1">
      <c r="A40" s="1663" t="s">
        <v>846</v>
      </c>
      <c r="B40" s="1593"/>
      <c r="C40" s="1664"/>
      <c r="D40" s="1665">
        <v>134.5</v>
      </c>
      <c r="E40" s="1740"/>
      <c r="F40" s="1741"/>
      <c r="G40" s="1741"/>
      <c r="H40" s="1741"/>
      <c r="I40" s="1741"/>
      <c r="J40" s="1744">
        <v>18.600000000000001</v>
      </c>
      <c r="K40" s="1742"/>
      <c r="L40" s="1742"/>
      <c r="M40" s="1742"/>
      <c r="N40" s="1666">
        <v>11.9</v>
      </c>
      <c r="O40" s="1742"/>
      <c r="P40" s="1742"/>
      <c r="Q40" s="1742"/>
      <c r="R40" s="1743"/>
    </row>
    <row r="48" spans="1:18" s="1276" customFormat="1" ht="13.5" customHeight="1">
      <c r="C48" s="1283"/>
      <c r="D48" s="1283"/>
      <c r="E48" s="1283"/>
      <c r="M48" s="1280"/>
      <c r="Q48" s="1280"/>
    </row>
    <row r="49" spans="3:17" s="1276" customFormat="1" ht="13.5" customHeight="1">
      <c r="C49" s="1283"/>
      <c r="D49" s="1283"/>
      <c r="E49" s="1283"/>
      <c r="F49" s="1284"/>
      <c r="G49" s="1284"/>
      <c r="H49" s="1284"/>
      <c r="I49" s="1284"/>
      <c r="J49" s="1284"/>
      <c r="K49" s="1284"/>
      <c r="L49" s="1284"/>
      <c r="M49" s="1280"/>
      <c r="N49" s="1284"/>
      <c r="O49" s="1284"/>
      <c r="P49" s="1284"/>
      <c r="Q49" s="1280"/>
    </row>
    <row r="50" spans="3:17" s="1276" customFormat="1" ht="13.5" customHeight="1">
      <c r="C50" s="1283"/>
      <c r="D50" s="1283"/>
      <c r="E50" s="1283"/>
      <c r="F50" s="1282"/>
      <c r="G50" s="1282"/>
      <c r="H50" s="1282"/>
      <c r="I50" s="1282"/>
      <c r="J50" s="1282"/>
      <c r="K50" s="1282"/>
      <c r="L50" s="1282"/>
      <c r="M50" s="1280"/>
      <c r="N50" s="1282"/>
      <c r="O50" s="1282"/>
      <c r="P50" s="1282"/>
      <c r="Q50" s="1280"/>
    </row>
    <row r="51" spans="3:17" s="1276" customFormat="1" ht="13.5" customHeight="1">
      <c r="C51" s="1281"/>
      <c r="D51" s="1281"/>
      <c r="E51" s="1281"/>
      <c r="F51" s="1280"/>
      <c r="G51" s="1280"/>
      <c r="H51" s="1280"/>
      <c r="I51" s="1280"/>
      <c r="J51" s="1280"/>
      <c r="K51" s="1280"/>
      <c r="L51" s="1280"/>
      <c r="N51" s="1280"/>
      <c r="O51" s="1280"/>
      <c r="P51" s="1280"/>
    </row>
  </sheetData>
  <mergeCells count="19">
    <mergeCell ref="A7:C7"/>
    <mergeCell ref="C12:D12"/>
    <mergeCell ref="A13:C13"/>
    <mergeCell ref="A39:C39"/>
    <mergeCell ref="A40:C40"/>
    <mergeCell ref="A4:A6"/>
    <mergeCell ref="B4:B6"/>
    <mergeCell ref="C4:C6"/>
    <mergeCell ref="D4:D6"/>
    <mergeCell ref="E4:I4"/>
    <mergeCell ref="J4:Q4"/>
    <mergeCell ref="R4:R6"/>
    <mergeCell ref="E5:E6"/>
    <mergeCell ref="F5:F6"/>
    <mergeCell ref="G5:G6"/>
    <mergeCell ref="H5:H6"/>
    <mergeCell ref="I5:I6"/>
    <mergeCell ref="J5:M5"/>
    <mergeCell ref="N5:Q5"/>
  </mergeCells>
  <phoneticPr fontId="3"/>
  <pageMargins left="0.39370078740157483" right="0.39370078740157483" top="0.78740157480314965" bottom="0.55118110236220474" header="0.31496062992125984" footer="0.31496062992125984"/>
  <pageSetup paperSize="9" scale="75" fitToHeight="0" orientation="landscape" horizontalDpi="1200" verticalDpi="1200" r:id="rId1"/>
  <headerFooter scaleWithDoc="0">
    <oddFooter>&amp;C&amp;"ＭＳ Ｐゴシック,標準"&amp;9(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39"/>
  <sheetViews>
    <sheetView showGridLines="0" zoomScale="80" zoomScaleNormal="80" workbookViewId="0"/>
  </sheetViews>
  <sheetFormatPr defaultColWidth="9.140625" defaultRowHeight="20.100000000000001" customHeight="1"/>
  <cols>
    <col min="1" max="1" width="9.140625" style="15"/>
    <col min="2" max="13" width="8.28515625" style="15" customWidth="1"/>
    <col min="14" max="15" width="9.140625" style="15"/>
    <col min="16" max="27" width="8.28515625" style="15" customWidth="1"/>
    <col min="28" max="29" width="9.140625" style="15" customWidth="1"/>
    <col min="30" max="16384" width="9.140625" style="15"/>
  </cols>
  <sheetData>
    <row r="1" spans="1:27" s="14" customFormat="1" ht="30" customHeight="1">
      <c r="A1" s="10" t="s">
        <v>3</v>
      </c>
      <c r="B1" s="11"/>
      <c r="C1" s="11"/>
      <c r="D1" s="11"/>
      <c r="E1" s="11"/>
      <c r="F1" s="11"/>
      <c r="G1" s="11"/>
      <c r="H1" s="11"/>
      <c r="I1" s="11"/>
      <c r="J1" s="11"/>
      <c r="K1" s="11"/>
      <c r="L1" s="11"/>
      <c r="M1" s="11"/>
      <c r="N1" s="12"/>
      <c r="O1" s="12"/>
      <c r="P1" s="11"/>
      <c r="Q1" s="11"/>
      <c r="R1" s="11"/>
      <c r="S1" s="11"/>
      <c r="T1" s="11"/>
      <c r="U1" s="11"/>
      <c r="V1" s="11"/>
      <c r="W1" s="11"/>
      <c r="X1" s="11"/>
      <c r="Y1" s="11"/>
      <c r="Z1" s="11"/>
      <c r="AA1" s="13"/>
    </row>
    <row r="2" spans="1:27" ht="21" customHeight="1">
      <c r="B2" s="16"/>
      <c r="C2" s="16"/>
      <c r="D2" s="16"/>
      <c r="E2" s="16"/>
      <c r="F2" s="16"/>
      <c r="G2" s="16"/>
      <c r="H2" s="16"/>
      <c r="I2" s="16"/>
      <c r="J2" s="16"/>
      <c r="K2" s="16"/>
      <c r="L2" s="16"/>
      <c r="M2" s="16"/>
      <c r="P2" s="16"/>
      <c r="Q2" s="16"/>
      <c r="R2" s="16"/>
      <c r="S2" s="16"/>
      <c r="T2" s="16"/>
      <c r="U2" s="16"/>
      <c r="V2" s="16"/>
      <c r="W2" s="16"/>
      <c r="X2" s="16"/>
      <c r="Y2" s="16"/>
      <c r="Z2" s="16"/>
      <c r="AA2" s="16"/>
    </row>
    <row r="3" spans="1:27" ht="20.100000000000001" customHeight="1">
      <c r="B3" s="17"/>
      <c r="C3" s="17"/>
      <c r="D3" s="17"/>
      <c r="E3" s="17"/>
      <c r="F3" s="17"/>
      <c r="G3" s="17"/>
      <c r="H3" s="17"/>
      <c r="I3" s="17"/>
      <c r="J3" s="17"/>
      <c r="K3" s="17"/>
      <c r="L3" s="17"/>
      <c r="M3" s="17"/>
      <c r="P3" s="17"/>
      <c r="Q3" s="17"/>
      <c r="R3" s="17"/>
      <c r="S3" s="17"/>
      <c r="T3" s="17"/>
      <c r="U3" s="17"/>
      <c r="V3" s="17"/>
      <c r="W3" s="17"/>
      <c r="X3" s="17"/>
      <c r="Y3" s="17"/>
      <c r="Z3" s="17"/>
      <c r="AA3" s="17"/>
    </row>
    <row r="4" spans="1:27" ht="20.100000000000001" customHeight="1">
      <c r="B4" s="17"/>
      <c r="C4" s="17"/>
      <c r="D4" s="17"/>
      <c r="E4" s="17"/>
      <c r="F4" s="17"/>
      <c r="G4" s="17"/>
      <c r="H4" s="17"/>
      <c r="I4" s="17"/>
      <c r="J4" s="17"/>
      <c r="K4" s="17"/>
      <c r="L4" s="17"/>
      <c r="M4" s="17"/>
      <c r="P4" s="17"/>
      <c r="Q4" s="17"/>
      <c r="R4" s="17"/>
      <c r="S4" s="17"/>
      <c r="T4" s="17"/>
      <c r="U4" s="17"/>
      <c r="V4" s="17"/>
      <c r="W4" s="17"/>
      <c r="X4" s="17"/>
      <c r="Y4" s="17"/>
      <c r="Z4" s="17"/>
      <c r="AA4" s="17"/>
    </row>
    <row r="5" spans="1:27" ht="20.100000000000001" customHeight="1">
      <c r="B5" s="17"/>
      <c r="C5" s="17"/>
      <c r="D5" s="17"/>
      <c r="E5" s="17"/>
      <c r="F5" s="17"/>
      <c r="G5" s="17"/>
      <c r="H5" s="17"/>
      <c r="I5" s="17"/>
      <c r="J5" s="17"/>
      <c r="K5" s="17"/>
      <c r="L5" s="17"/>
      <c r="M5" s="17"/>
      <c r="P5" s="17"/>
      <c r="Q5" s="17"/>
      <c r="R5" s="17"/>
      <c r="S5" s="17"/>
      <c r="T5" s="17"/>
      <c r="U5" s="17"/>
      <c r="V5" s="17"/>
      <c r="W5" s="17"/>
      <c r="X5" s="17"/>
      <c r="Y5" s="17"/>
      <c r="Z5" s="17"/>
      <c r="AA5" s="17"/>
    </row>
    <row r="6" spans="1:27" ht="20.100000000000001" customHeight="1">
      <c r="B6" s="17"/>
      <c r="C6" s="17"/>
      <c r="D6" s="17"/>
      <c r="E6" s="17"/>
      <c r="F6" s="17"/>
      <c r="G6" s="17"/>
      <c r="H6" s="17"/>
      <c r="I6" s="17"/>
      <c r="J6" s="17"/>
      <c r="K6" s="17"/>
      <c r="L6" s="17"/>
      <c r="M6" s="17"/>
      <c r="P6" s="17"/>
      <c r="Q6" s="17"/>
      <c r="R6" s="17"/>
      <c r="S6" s="17"/>
      <c r="T6" s="17"/>
      <c r="U6" s="17"/>
      <c r="V6" s="17"/>
      <c r="W6" s="17"/>
      <c r="X6" s="17"/>
      <c r="Y6" s="17"/>
      <c r="Z6" s="17"/>
      <c r="AA6" s="17"/>
    </row>
    <row r="7" spans="1:27" ht="20.100000000000001" customHeight="1">
      <c r="B7" s="17"/>
      <c r="C7" s="17"/>
      <c r="D7" s="17"/>
      <c r="E7" s="17"/>
      <c r="F7" s="17"/>
      <c r="G7" s="17"/>
      <c r="H7" s="17"/>
      <c r="I7" s="17"/>
      <c r="J7" s="17"/>
      <c r="K7" s="17"/>
      <c r="L7" s="17"/>
      <c r="M7" s="17"/>
      <c r="P7" s="17"/>
      <c r="Q7" s="17"/>
      <c r="R7" s="17"/>
      <c r="S7" s="17"/>
      <c r="T7" s="17"/>
      <c r="U7" s="17"/>
      <c r="V7" s="17"/>
      <c r="W7" s="17"/>
      <c r="X7" s="17"/>
      <c r="Y7" s="17"/>
      <c r="Z7" s="17"/>
      <c r="AA7" s="17"/>
    </row>
    <row r="8" spans="1:27" ht="20.100000000000001" customHeight="1">
      <c r="B8" s="17"/>
      <c r="C8" s="17"/>
      <c r="D8" s="17"/>
      <c r="E8" s="17"/>
      <c r="F8" s="17"/>
      <c r="G8" s="17"/>
      <c r="H8" s="17"/>
      <c r="I8" s="17"/>
      <c r="J8" s="17"/>
      <c r="K8" s="17"/>
      <c r="L8" s="17"/>
      <c r="M8" s="17"/>
      <c r="P8" s="17"/>
      <c r="Q8" s="17"/>
      <c r="R8" s="17"/>
      <c r="S8" s="17"/>
      <c r="T8" s="17"/>
      <c r="U8" s="17"/>
      <c r="V8" s="17"/>
      <c r="W8" s="17"/>
      <c r="X8" s="17"/>
      <c r="Y8" s="17"/>
      <c r="Z8" s="17"/>
      <c r="AA8" s="17"/>
    </row>
    <row r="9" spans="1:27" ht="20.100000000000001" customHeight="1">
      <c r="B9" s="17"/>
      <c r="C9" s="17"/>
      <c r="D9" s="17"/>
      <c r="E9" s="17"/>
      <c r="F9" s="17"/>
      <c r="G9" s="17"/>
      <c r="H9" s="17"/>
      <c r="I9" s="17"/>
      <c r="J9" s="17"/>
      <c r="K9" s="17"/>
      <c r="L9" s="17"/>
      <c r="M9" s="17"/>
      <c r="P9" s="17"/>
      <c r="Q9" s="17"/>
      <c r="R9" s="17"/>
      <c r="S9" s="17"/>
      <c r="T9" s="17"/>
      <c r="U9" s="17"/>
      <c r="V9" s="17"/>
      <c r="W9" s="17"/>
      <c r="X9" s="17"/>
      <c r="Y9" s="17"/>
      <c r="Z9" s="17"/>
      <c r="AA9" s="17"/>
    </row>
    <row r="10" spans="1:27" ht="20.100000000000001" customHeight="1">
      <c r="B10" s="17"/>
      <c r="C10" s="17"/>
      <c r="D10" s="17"/>
      <c r="E10" s="17"/>
      <c r="F10" s="17"/>
      <c r="G10" s="17"/>
      <c r="H10" s="17"/>
      <c r="I10" s="17"/>
      <c r="J10" s="17"/>
      <c r="K10" s="17"/>
      <c r="L10" s="17"/>
      <c r="M10" s="17"/>
      <c r="P10" s="17"/>
      <c r="Q10" s="17"/>
      <c r="R10" s="17"/>
      <c r="S10" s="17"/>
      <c r="T10" s="17"/>
      <c r="U10" s="17"/>
      <c r="V10" s="17"/>
      <c r="W10" s="17"/>
      <c r="X10" s="17"/>
      <c r="Y10" s="17"/>
      <c r="Z10" s="17"/>
      <c r="AA10" s="17"/>
    </row>
    <row r="11" spans="1:27" ht="20.100000000000001" customHeight="1">
      <c r="B11" s="17"/>
      <c r="C11" s="17"/>
      <c r="D11" s="17"/>
      <c r="E11" s="17"/>
      <c r="F11" s="17"/>
      <c r="G11" s="17"/>
      <c r="H11" s="17"/>
      <c r="I11" s="17"/>
      <c r="J11" s="17"/>
      <c r="K11" s="17"/>
      <c r="L11" s="17"/>
      <c r="M11" s="17"/>
      <c r="P11" s="17"/>
      <c r="Q11" s="17"/>
      <c r="R11" s="17"/>
      <c r="S11" s="17"/>
      <c r="T11" s="17"/>
      <c r="U11" s="17"/>
      <c r="V11" s="17"/>
      <c r="W11" s="17"/>
      <c r="X11" s="17"/>
      <c r="Y11" s="17"/>
      <c r="Z11" s="17"/>
      <c r="AA11" s="17"/>
    </row>
    <row r="12" spans="1:27" ht="20.100000000000001" customHeight="1">
      <c r="B12" s="17"/>
      <c r="C12" s="17"/>
      <c r="D12" s="17"/>
      <c r="E12" s="17"/>
      <c r="F12" s="17"/>
      <c r="G12" s="17"/>
      <c r="H12" s="17"/>
      <c r="I12" s="17"/>
      <c r="J12" s="17"/>
      <c r="K12" s="17"/>
      <c r="L12" s="17"/>
      <c r="M12" s="17"/>
      <c r="P12" s="17"/>
      <c r="Q12" s="17"/>
      <c r="R12" s="17"/>
      <c r="S12" s="17"/>
      <c r="T12" s="17"/>
      <c r="U12" s="17"/>
      <c r="V12" s="17"/>
      <c r="W12" s="17"/>
      <c r="X12" s="17"/>
      <c r="Y12" s="17"/>
      <c r="Z12" s="17"/>
      <c r="AA12" s="17"/>
    </row>
    <row r="13" spans="1:27" ht="20.100000000000001" customHeight="1">
      <c r="B13" s="17"/>
      <c r="C13" s="17"/>
      <c r="D13" s="17"/>
      <c r="E13" s="17"/>
      <c r="F13" s="17"/>
      <c r="G13" s="17"/>
      <c r="H13" s="17"/>
      <c r="I13" s="17"/>
      <c r="J13" s="17"/>
      <c r="K13" s="17"/>
      <c r="L13" s="17"/>
      <c r="M13" s="17"/>
      <c r="P13" s="17"/>
      <c r="Q13" s="17"/>
      <c r="R13" s="17"/>
      <c r="S13" s="17"/>
      <c r="T13" s="17"/>
      <c r="U13" s="17"/>
      <c r="V13" s="17"/>
      <c r="W13" s="17"/>
      <c r="X13" s="17"/>
      <c r="Y13" s="17"/>
      <c r="Z13" s="17"/>
      <c r="AA13" s="17"/>
    </row>
    <row r="14" spans="1:27" ht="20.100000000000001" customHeight="1">
      <c r="B14" s="17"/>
      <c r="C14" s="17"/>
      <c r="D14" s="17"/>
      <c r="E14" s="17"/>
      <c r="F14" s="17"/>
      <c r="G14" s="17"/>
      <c r="H14" s="17"/>
      <c r="I14" s="17"/>
      <c r="J14" s="17"/>
      <c r="K14" s="17"/>
      <c r="L14" s="17"/>
      <c r="M14" s="17"/>
      <c r="P14" s="17"/>
      <c r="Q14" s="17"/>
      <c r="R14" s="17"/>
      <c r="S14" s="17"/>
      <c r="T14" s="17"/>
      <c r="U14" s="17"/>
      <c r="V14" s="17"/>
      <c r="W14" s="17"/>
      <c r="X14" s="17"/>
      <c r="Y14" s="17"/>
      <c r="Z14" s="17"/>
      <c r="AA14" s="17"/>
    </row>
    <row r="15" spans="1:27" ht="20.100000000000001" customHeight="1">
      <c r="B15" s="17"/>
      <c r="C15" s="17"/>
      <c r="D15" s="17"/>
      <c r="E15" s="17"/>
      <c r="F15" s="17"/>
      <c r="G15" s="17"/>
      <c r="H15" s="17"/>
      <c r="I15" s="17"/>
      <c r="J15" s="17"/>
      <c r="K15" s="17"/>
      <c r="L15" s="17"/>
      <c r="M15" s="17"/>
      <c r="P15" s="17"/>
      <c r="Q15" s="17"/>
      <c r="R15" s="17"/>
      <c r="S15" s="17"/>
      <c r="T15" s="17"/>
      <c r="U15" s="17"/>
      <c r="V15" s="17"/>
      <c r="W15" s="17"/>
      <c r="X15" s="17"/>
      <c r="Y15" s="17"/>
      <c r="Z15" s="17"/>
      <c r="AA15" s="17"/>
    </row>
    <row r="16" spans="1:27" ht="20.100000000000001" customHeight="1">
      <c r="B16" s="17"/>
      <c r="C16" s="17"/>
      <c r="D16" s="17"/>
      <c r="E16" s="17"/>
      <c r="F16" s="17"/>
      <c r="G16" s="17"/>
      <c r="H16" s="17"/>
      <c r="I16" s="17"/>
      <c r="J16" s="17"/>
      <c r="K16" s="17"/>
      <c r="L16" s="17"/>
      <c r="M16" s="17"/>
      <c r="P16" s="17"/>
      <c r="Q16" s="17"/>
      <c r="R16" s="17"/>
      <c r="S16" s="17"/>
      <c r="T16" s="17"/>
      <c r="U16" s="17"/>
      <c r="V16" s="17"/>
      <c r="W16" s="17"/>
      <c r="X16" s="17"/>
      <c r="Y16" s="17"/>
      <c r="Z16" s="17"/>
      <c r="AA16" s="17"/>
    </row>
    <row r="17" spans="2:27" ht="20.100000000000001" customHeight="1">
      <c r="B17" s="17"/>
      <c r="C17" s="17"/>
      <c r="D17" s="17"/>
      <c r="E17" s="17"/>
      <c r="F17" s="17"/>
      <c r="G17" s="17"/>
      <c r="H17" s="17"/>
      <c r="I17" s="17"/>
      <c r="J17" s="17"/>
      <c r="K17" s="17"/>
      <c r="L17" s="17"/>
      <c r="M17" s="17"/>
      <c r="P17" s="17"/>
      <c r="Q17" s="17"/>
      <c r="R17" s="17"/>
      <c r="S17" s="17"/>
      <c r="T17" s="17"/>
      <c r="U17" s="17"/>
      <c r="V17" s="17"/>
      <c r="W17" s="17"/>
      <c r="X17" s="17"/>
      <c r="Y17" s="17"/>
      <c r="Z17" s="17"/>
      <c r="AA17" s="17"/>
    </row>
    <row r="18" spans="2:27" ht="20.100000000000001" customHeight="1">
      <c r="B18" s="17"/>
      <c r="C18" s="17"/>
      <c r="D18" s="17"/>
      <c r="E18" s="17"/>
      <c r="F18" s="17"/>
      <c r="G18" s="17"/>
      <c r="H18" s="17"/>
      <c r="I18" s="17"/>
      <c r="J18" s="17"/>
      <c r="K18" s="17"/>
      <c r="L18" s="17"/>
      <c r="M18" s="17"/>
      <c r="P18" s="17"/>
      <c r="Q18" s="17"/>
      <c r="R18" s="17"/>
      <c r="S18" s="17"/>
      <c r="T18" s="17"/>
      <c r="U18" s="17"/>
      <c r="V18" s="17"/>
      <c r="W18" s="17"/>
      <c r="X18" s="17"/>
      <c r="Y18" s="17"/>
      <c r="Z18" s="17"/>
      <c r="AA18" s="17"/>
    </row>
    <row r="19" spans="2:27" ht="20.100000000000001" customHeight="1">
      <c r="B19" s="17"/>
      <c r="C19" s="17"/>
      <c r="D19" s="17"/>
      <c r="E19" s="17"/>
      <c r="F19" s="17"/>
      <c r="G19" s="17"/>
      <c r="H19" s="17"/>
      <c r="I19" s="17"/>
      <c r="J19" s="17"/>
      <c r="K19" s="17"/>
      <c r="L19" s="17"/>
      <c r="M19" s="17"/>
      <c r="P19" s="17"/>
      <c r="Q19" s="17"/>
      <c r="R19" s="17"/>
      <c r="S19" s="17"/>
      <c r="T19" s="17"/>
      <c r="U19" s="17"/>
      <c r="V19" s="17"/>
      <c r="W19" s="17"/>
      <c r="X19" s="17"/>
      <c r="Y19" s="17"/>
      <c r="Z19" s="17"/>
      <c r="AA19" s="17"/>
    </row>
    <row r="20" spans="2:27" ht="20.100000000000001" customHeight="1">
      <c r="B20" s="17"/>
      <c r="C20" s="17"/>
      <c r="D20" s="17"/>
      <c r="E20" s="17"/>
      <c r="F20" s="17"/>
      <c r="G20" s="17"/>
      <c r="H20" s="17"/>
      <c r="I20" s="17"/>
      <c r="J20" s="17"/>
      <c r="K20" s="17"/>
      <c r="L20" s="17"/>
      <c r="M20" s="17"/>
      <c r="P20" s="17"/>
      <c r="Q20" s="17"/>
      <c r="R20" s="17"/>
      <c r="S20" s="17"/>
      <c r="T20" s="17"/>
      <c r="U20" s="17"/>
      <c r="V20" s="17"/>
      <c r="W20" s="17"/>
      <c r="X20" s="17"/>
      <c r="Y20" s="17"/>
      <c r="Z20" s="17"/>
      <c r="AA20" s="17"/>
    </row>
    <row r="21" spans="2:27" ht="20.100000000000001" customHeight="1">
      <c r="B21" s="17"/>
      <c r="C21" s="17"/>
      <c r="D21" s="17"/>
      <c r="E21" s="17"/>
      <c r="F21" s="17"/>
      <c r="G21" s="17"/>
      <c r="H21" s="17"/>
      <c r="I21" s="17"/>
      <c r="J21" s="17"/>
      <c r="K21" s="17"/>
      <c r="L21" s="17"/>
      <c r="M21" s="17"/>
      <c r="P21" s="17"/>
      <c r="Q21" s="17"/>
      <c r="R21" s="17"/>
      <c r="S21" s="17"/>
      <c r="T21" s="17"/>
      <c r="U21" s="17"/>
      <c r="V21" s="17"/>
      <c r="W21" s="17"/>
      <c r="X21" s="17"/>
      <c r="Y21" s="17"/>
      <c r="Z21" s="17"/>
      <c r="AA21" s="17"/>
    </row>
    <row r="22" spans="2:27" ht="20.100000000000001" customHeight="1">
      <c r="B22" s="17"/>
      <c r="C22" s="17"/>
      <c r="D22" s="17"/>
      <c r="E22" s="17"/>
      <c r="F22" s="17"/>
      <c r="G22" s="17"/>
      <c r="H22" s="17"/>
      <c r="I22" s="17"/>
      <c r="J22" s="17"/>
      <c r="K22" s="17"/>
      <c r="L22" s="17"/>
      <c r="M22" s="17"/>
      <c r="P22" s="17"/>
      <c r="Q22" s="17"/>
      <c r="R22" s="17"/>
      <c r="S22" s="17"/>
      <c r="T22" s="17"/>
      <c r="U22" s="17"/>
      <c r="V22" s="17"/>
      <c r="W22" s="17"/>
      <c r="X22" s="17"/>
      <c r="Y22" s="17"/>
      <c r="Z22" s="17"/>
      <c r="AA22" s="17"/>
    </row>
    <row r="23" spans="2:27" ht="20.100000000000001" customHeight="1">
      <c r="B23" s="17"/>
      <c r="C23" s="17"/>
      <c r="D23" s="17"/>
      <c r="E23" s="17"/>
      <c r="F23" s="17"/>
      <c r="G23" s="17"/>
      <c r="H23" s="17"/>
      <c r="I23" s="17"/>
      <c r="J23" s="17"/>
      <c r="K23" s="17"/>
      <c r="L23" s="17"/>
      <c r="M23" s="17"/>
      <c r="P23" s="17"/>
      <c r="Q23" s="17"/>
      <c r="R23" s="17"/>
      <c r="S23" s="17"/>
      <c r="T23" s="17"/>
      <c r="U23" s="17"/>
      <c r="V23" s="17"/>
      <c r="W23" s="17"/>
      <c r="X23" s="17"/>
      <c r="Y23" s="17"/>
      <c r="Z23" s="17"/>
      <c r="AA23" s="17"/>
    </row>
    <row r="24" spans="2:27" ht="20.100000000000001" customHeight="1">
      <c r="B24" s="17"/>
      <c r="C24" s="17"/>
      <c r="D24" s="17"/>
      <c r="E24" s="17"/>
      <c r="F24" s="17"/>
      <c r="G24" s="17"/>
      <c r="H24" s="17"/>
      <c r="I24" s="17"/>
      <c r="J24" s="17"/>
      <c r="K24" s="17"/>
      <c r="L24" s="17"/>
      <c r="M24" s="17"/>
      <c r="P24" s="17"/>
      <c r="Q24" s="17"/>
      <c r="R24" s="17"/>
      <c r="S24" s="17"/>
      <c r="T24" s="17"/>
      <c r="U24" s="17"/>
      <c r="V24" s="17"/>
      <c r="W24" s="17"/>
      <c r="X24" s="17"/>
      <c r="Y24" s="17"/>
      <c r="Z24" s="17"/>
      <c r="AA24" s="17"/>
    </row>
    <row r="25" spans="2:27" ht="20.100000000000001" customHeight="1">
      <c r="B25" s="17"/>
      <c r="C25" s="17"/>
      <c r="D25" s="17"/>
      <c r="E25" s="17"/>
      <c r="F25" s="17"/>
      <c r="G25" s="17"/>
      <c r="H25" s="17"/>
      <c r="I25" s="17"/>
      <c r="J25" s="17"/>
      <c r="K25" s="17"/>
      <c r="L25" s="17"/>
      <c r="M25" s="17"/>
      <c r="P25" s="17"/>
      <c r="Q25" s="17"/>
      <c r="R25" s="17"/>
      <c r="S25" s="17"/>
      <c r="T25" s="17"/>
      <c r="U25" s="17"/>
      <c r="V25" s="17"/>
      <c r="W25" s="17"/>
      <c r="X25" s="17"/>
      <c r="Y25" s="17"/>
      <c r="Z25" s="17"/>
      <c r="AA25" s="17"/>
    </row>
    <row r="26" spans="2:27" ht="20.100000000000001" customHeight="1">
      <c r="B26" s="17"/>
      <c r="C26" s="17"/>
      <c r="D26" s="17"/>
      <c r="E26" s="17"/>
      <c r="F26" s="17"/>
      <c r="G26" s="17"/>
      <c r="H26" s="17"/>
      <c r="I26" s="17"/>
      <c r="J26" s="17"/>
      <c r="K26" s="17"/>
      <c r="L26" s="17"/>
      <c r="M26" s="17"/>
      <c r="P26" s="17"/>
      <c r="Q26" s="17"/>
      <c r="R26" s="17"/>
      <c r="S26" s="17"/>
      <c r="T26" s="17"/>
      <c r="U26" s="17"/>
      <c r="V26" s="17"/>
      <c r="W26" s="17"/>
      <c r="X26" s="17"/>
      <c r="Y26" s="17"/>
      <c r="Z26" s="17"/>
      <c r="AA26" s="17"/>
    </row>
    <row r="27" spans="2:27" ht="20.100000000000001" customHeight="1">
      <c r="B27" s="17"/>
      <c r="C27" s="17"/>
      <c r="D27" s="17"/>
      <c r="E27" s="17"/>
      <c r="F27" s="17"/>
      <c r="G27" s="17"/>
      <c r="H27" s="17"/>
      <c r="I27" s="17"/>
      <c r="J27" s="17"/>
      <c r="K27" s="17"/>
      <c r="L27" s="17"/>
      <c r="M27" s="17"/>
      <c r="P27" s="17"/>
      <c r="Q27" s="17"/>
      <c r="R27" s="17"/>
      <c r="S27" s="17"/>
      <c r="T27" s="17"/>
      <c r="U27" s="17"/>
      <c r="V27" s="17"/>
      <c r="W27" s="17"/>
      <c r="X27" s="17"/>
      <c r="Y27" s="17"/>
      <c r="Z27" s="17"/>
      <c r="AA27" s="17"/>
    </row>
    <row r="28" spans="2:27" ht="20.100000000000001" customHeight="1">
      <c r="B28" s="17"/>
      <c r="C28" s="17"/>
      <c r="D28" s="17"/>
      <c r="E28" s="17"/>
      <c r="F28" s="17"/>
      <c r="G28" s="17"/>
      <c r="H28" s="17"/>
      <c r="I28" s="17"/>
      <c r="J28" s="17"/>
      <c r="K28" s="17"/>
      <c r="L28" s="17"/>
      <c r="M28" s="17"/>
      <c r="P28" s="17"/>
      <c r="Q28" s="17"/>
      <c r="R28" s="17"/>
      <c r="S28" s="17"/>
      <c r="T28" s="17"/>
      <c r="U28" s="17"/>
      <c r="V28" s="17"/>
      <c r="W28" s="17"/>
      <c r="X28" s="17"/>
      <c r="Y28" s="17"/>
      <c r="Z28" s="17"/>
      <c r="AA28" s="17"/>
    </row>
    <row r="29" spans="2:27" ht="20.100000000000001" customHeight="1">
      <c r="B29" s="17"/>
      <c r="C29" s="17"/>
      <c r="D29" s="17"/>
      <c r="E29" s="17"/>
      <c r="F29" s="17"/>
      <c r="G29" s="17"/>
      <c r="H29" s="17"/>
      <c r="I29" s="17"/>
      <c r="J29" s="17"/>
      <c r="K29" s="17"/>
      <c r="L29" s="17"/>
      <c r="M29" s="17"/>
      <c r="P29" s="17"/>
      <c r="Q29" s="17"/>
      <c r="R29" s="17"/>
      <c r="S29" s="17"/>
      <c r="T29" s="17"/>
      <c r="U29" s="17"/>
      <c r="V29" s="17"/>
      <c r="W29" s="17"/>
      <c r="X29" s="17"/>
      <c r="Y29" s="17"/>
      <c r="Z29" s="17"/>
      <c r="AA29" s="17"/>
    </row>
    <row r="30" spans="2:27" ht="15.95" customHeight="1"/>
    <row r="31" spans="2:27" ht="15.95" customHeight="1">
      <c r="B31" s="18" t="s">
        <v>4</v>
      </c>
      <c r="C31" s="19"/>
      <c r="D31" s="19"/>
      <c r="E31" s="19"/>
      <c r="F31" s="19"/>
      <c r="I31" s="18" t="s">
        <v>5</v>
      </c>
      <c r="J31" s="19"/>
      <c r="K31" s="19"/>
      <c r="L31" s="19"/>
      <c r="M31" s="19"/>
      <c r="N31" s="17"/>
    </row>
    <row r="32" spans="2:27" ht="15.95" customHeight="1">
      <c r="B32" s="20" t="s">
        <v>6</v>
      </c>
      <c r="C32" s="21"/>
      <c r="D32" s="22" t="s">
        <v>7</v>
      </c>
      <c r="E32" s="22" t="s">
        <v>8</v>
      </c>
      <c r="F32" s="21" t="s">
        <v>9</v>
      </c>
      <c r="G32" s="23"/>
      <c r="I32" s="24" t="s">
        <v>10</v>
      </c>
      <c r="J32" s="25"/>
      <c r="K32" s="26" t="s">
        <v>11</v>
      </c>
      <c r="L32" s="26" t="s">
        <v>12</v>
      </c>
      <c r="M32" s="26" t="s">
        <v>13</v>
      </c>
      <c r="N32" s="27" t="s">
        <v>14</v>
      </c>
    </row>
    <row r="33" spans="2:27" ht="15.95" customHeight="1">
      <c r="B33" s="28" t="s">
        <v>22</v>
      </c>
      <c r="C33" s="29"/>
      <c r="D33" s="30">
        <v>35.69</v>
      </c>
      <c r="E33" s="30">
        <v>139.76</v>
      </c>
      <c r="F33" s="31">
        <v>135</v>
      </c>
      <c r="G33" s="32"/>
      <c r="I33" s="33" t="s">
        <v>15</v>
      </c>
      <c r="J33" s="34"/>
      <c r="K33" s="35">
        <v>200</v>
      </c>
      <c r="L33" s="35">
        <v>-70</v>
      </c>
      <c r="M33" s="35">
        <v>20</v>
      </c>
      <c r="N33" s="36">
        <v>110</v>
      </c>
    </row>
    <row r="34" spans="2:27" ht="15.95" customHeight="1" thickBot="1"/>
    <row r="35" spans="2:27" ht="15.95" customHeight="1">
      <c r="B35" s="15" t="s">
        <v>16</v>
      </c>
      <c r="L35" s="37" t="s">
        <v>17</v>
      </c>
      <c r="M35" s="38" t="s">
        <v>18</v>
      </c>
      <c r="P35" s="15" t="s">
        <v>16</v>
      </c>
      <c r="AA35" s="39" t="s">
        <v>19</v>
      </c>
    </row>
    <row r="36" spans="2:27" ht="15.95" customHeight="1">
      <c r="B36" s="40"/>
      <c r="C36" s="41"/>
      <c r="D36" s="42">
        <v>9</v>
      </c>
      <c r="E36" s="42">
        <v>10</v>
      </c>
      <c r="F36" s="42">
        <v>11</v>
      </c>
      <c r="G36" s="42">
        <v>12</v>
      </c>
      <c r="H36" s="42">
        <v>13</v>
      </c>
      <c r="I36" s="42">
        <v>14</v>
      </c>
      <c r="J36" s="42">
        <v>15</v>
      </c>
      <c r="K36" s="42">
        <v>16</v>
      </c>
      <c r="L36" s="42">
        <v>17</v>
      </c>
      <c r="M36" s="43">
        <v>18</v>
      </c>
      <c r="P36" s="40"/>
      <c r="Q36" s="41"/>
      <c r="R36" s="42">
        <v>9</v>
      </c>
      <c r="S36" s="42">
        <v>10</v>
      </c>
      <c r="T36" s="42">
        <v>11</v>
      </c>
      <c r="U36" s="42">
        <v>12</v>
      </c>
      <c r="V36" s="42">
        <v>13</v>
      </c>
      <c r="W36" s="42">
        <v>14</v>
      </c>
      <c r="X36" s="42">
        <v>15</v>
      </c>
      <c r="Y36" s="42">
        <v>16</v>
      </c>
      <c r="Z36" s="42">
        <v>17</v>
      </c>
      <c r="AA36" s="43">
        <v>18</v>
      </c>
    </row>
    <row r="37" spans="2:27" ht="15.95" customHeight="1">
      <c r="B37" s="44" t="s">
        <v>20</v>
      </c>
      <c r="C37" s="45"/>
      <c r="D37" s="46">
        <v>49.2</v>
      </c>
      <c r="E37" s="46">
        <v>60.5</v>
      </c>
      <c r="F37" s="46">
        <v>69.599999999999994</v>
      </c>
      <c r="G37" s="46">
        <v>72.2</v>
      </c>
      <c r="H37" s="46">
        <v>66.2</v>
      </c>
      <c r="I37" s="46">
        <v>55.8</v>
      </c>
      <c r="J37" s="46">
        <v>44.1</v>
      </c>
      <c r="K37" s="46">
        <v>32</v>
      </c>
      <c r="L37" s="46">
        <v>19.8</v>
      </c>
      <c r="M37" s="47">
        <v>8</v>
      </c>
      <c r="P37" s="44" t="s">
        <v>20</v>
      </c>
      <c r="Q37" s="45"/>
      <c r="R37" s="46">
        <v>41.5</v>
      </c>
      <c r="S37" s="46">
        <v>50.7</v>
      </c>
      <c r="T37" s="46">
        <v>56.5</v>
      </c>
      <c r="U37" s="46">
        <v>57.1</v>
      </c>
      <c r="V37" s="46">
        <v>52.3</v>
      </c>
      <c r="W37" s="46">
        <v>43.7</v>
      </c>
      <c r="X37" s="46">
        <v>33</v>
      </c>
      <c r="Y37" s="46">
        <v>21.4</v>
      </c>
      <c r="Z37" s="46">
        <v>9.3000000000000007</v>
      </c>
      <c r="AA37" s="47">
        <v>0</v>
      </c>
    </row>
    <row r="38" spans="2:27" ht="15.95" customHeight="1">
      <c r="B38" s="44" t="s">
        <v>21</v>
      </c>
      <c r="C38" s="45"/>
      <c r="D38" s="48">
        <v>-75.8</v>
      </c>
      <c r="E38" s="48">
        <v>-60.5</v>
      </c>
      <c r="F38" s="48">
        <v>-33.799999999999997</v>
      </c>
      <c r="G38" s="48">
        <v>10.1</v>
      </c>
      <c r="H38" s="48">
        <v>47.4</v>
      </c>
      <c r="I38" s="48">
        <v>68</v>
      </c>
      <c r="J38" s="48">
        <v>80.7</v>
      </c>
      <c r="K38" s="48">
        <v>90.2</v>
      </c>
      <c r="L38" s="48">
        <v>98.5</v>
      </c>
      <c r="M38" s="49">
        <v>106.7</v>
      </c>
      <c r="P38" s="44" t="s">
        <v>21</v>
      </c>
      <c r="Q38" s="45"/>
      <c r="R38" s="48">
        <v>-57.2</v>
      </c>
      <c r="S38" s="48">
        <v>-40.1</v>
      </c>
      <c r="T38" s="48">
        <v>-16.7</v>
      </c>
      <c r="U38" s="48">
        <v>10.9</v>
      </c>
      <c r="V38" s="48">
        <v>35.5</v>
      </c>
      <c r="W38" s="48">
        <v>54</v>
      </c>
      <c r="X38" s="48">
        <v>67.5</v>
      </c>
      <c r="Y38" s="48">
        <v>78.099999999999994</v>
      </c>
      <c r="Z38" s="48">
        <v>87.3</v>
      </c>
      <c r="AA38" s="49">
        <v>0</v>
      </c>
    </row>
    <row r="39" spans="2:27" ht="20.100000000000001" customHeight="1">
      <c r="B39" s="15" t="s">
        <v>23</v>
      </c>
      <c r="P39" s="15" t="s">
        <v>24</v>
      </c>
    </row>
  </sheetData>
  <mergeCells count="12">
    <mergeCell ref="B36:C36"/>
    <mergeCell ref="P36:Q36"/>
    <mergeCell ref="B37:C37"/>
    <mergeCell ref="P37:Q37"/>
    <mergeCell ref="B38:C38"/>
    <mergeCell ref="P38:Q38"/>
    <mergeCell ref="B32:C32"/>
    <mergeCell ref="F32:G32"/>
    <mergeCell ref="I32:J32"/>
    <mergeCell ref="B33:C33"/>
    <mergeCell ref="F33:G33"/>
    <mergeCell ref="I33:J33"/>
  </mergeCells>
  <phoneticPr fontId="3"/>
  <pageMargins left="0.65" right="0.51" top="0.78740157480314965" bottom="0.47244094488188981" header="0.51181102362204722" footer="0.31496062992125984"/>
  <pageSetup paperSize="9" scale="66" orientation="landscape" horizontalDpi="400" verticalDpi="400" r:id="rId1"/>
  <headerFooter scaleWithDoc="0">
    <oddFooter>&amp;C&amp;"ＭＳ Ｐゴシック,標準"&amp;9( &amp;P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54"/>
  <sheetViews>
    <sheetView showGridLines="0" zoomScale="80" zoomScaleNormal="80" workbookViewId="0"/>
  </sheetViews>
  <sheetFormatPr defaultColWidth="7.5703125" defaultRowHeight="15.95" customHeight="1"/>
  <cols>
    <col min="1" max="1" width="17.28515625" style="108" customWidth="1"/>
    <col min="2" max="6" width="7.7109375" style="54" customWidth="1"/>
    <col min="7" max="7" width="7.7109375" style="72" customWidth="1"/>
    <col min="8" max="12" width="7.7109375" style="54" customWidth="1"/>
    <col min="13" max="13" width="7.7109375" style="72" customWidth="1"/>
    <col min="14" max="18" width="7.7109375" style="54" customWidth="1"/>
    <col min="19" max="19" width="7.7109375" style="72" customWidth="1"/>
    <col min="20" max="23" width="7.7109375" style="54" customWidth="1"/>
    <col min="24" max="24" width="7.7109375" style="72" customWidth="1"/>
    <col min="25" max="25" width="7.7109375" style="54" customWidth="1"/>
    <col min="26" max="16384" width="7.5703125" style="54"/>
  </cols>
  <sheetData>
    <row r="1" spans="1:25" s="53" customFormat="1" ht="27.95" customHeight="1">
      <c r="A1" s="10" t="s">
        <v>26</v>
      </c>
      <c r="B1" s="50"/>
      <c r="C1" s="50"/>
      <c r="D1" s="50"/>
      <c r="E1" s="50"/>
      <c r="F1" s="50"/>
      <c r="G1" s="51"/>
      <c r="H1" s="50"/>
      <c r="I1" s="50"/>
      <c r="J1" s="50"/>
      <c r="K1" s="50"/>
      <c r="L1" s="50"/>
      <c r="M1" s="51"/>
      <c r="N1" s="50"/>
      <c r="O1" s="50"/>
      <c r="P1" s="50"/>
      <c r="Q1" s="50"/>
      <c r="R1" s="50"/>
      <c r="S1" s="51"/>
      <c r="T1" s="50"/>
      <c r="U1" s="50"/>
      <c r="V1" s="50"/>
      <c r="W1" s="50"/>
      <c r="X1" s="51"/>
      <c r="Y1" s="52"/>
    </row>
    <row r="2" spans="1:25" ht="8.1" customHeight="1">
      <c r="A2" s="54"/>
      <c r="G2" s="54"/>
      <c r="M2" s="54"/>
      <c r="S2" s="54"/>
      <c r="X2" s="54"/>
    </row>
    <row r="3" spans="1:25" ht="15.95" customHeight="1">
      <c r="A3" s="55" t="s">
        <v>27</v>
      </c>
      <c r="B3" s="55" t="s">
        <v>61</v>
      </c>
      <c r="C3" s="55"/>
      <c r="D3" s="56"/>
      <c r="E3" s="56"/>
      <c r="F3" s="56"/>
      <c r="G3" s="56"/>
      <c r="H3" s="56"/>
      <c r="I3" s="56"/>
      <c r="J3" s="56"/>
      <c r="K3" s="56"/>
      <c r="L3" s="56"/>
      <c r="M3" s="56"/>
      <c r="N3" s="56"/>
      <c r="O3" s="56"/>
      <c r="P3" s="56"/>
      <c r="Q3" s="56"/>
      <c r="R3" s="56"/>
      <c r="S3" s="56"/>
      <c r="T3" s="56"/>
      <c r="U3" s="56"/>
      <c r="V3" s="56"/>
      <c r="W3" s="56"/>
      <c r="X3" s="57"/>
      <c r="Y3" s="57"/>
    </row>
    <row r="4" spans="1:25" ht="15.95" customHeight="1" thickBot="1">
      <c r="A4" s="54"/>
      <c r="G4" s="54"/>
      <c r="M4" s="54"/>
      <c r="S4" s="54"/>
      <c r="X4" s="54"/>
    </row>
    <row r="5" spans="1:25" ht="15.95" customHeight="1">
      <c r="A5" s="58" t="s">
        <v>28</v>
      </c>
      <c r="B5" s="59"/>
      <c r="C5" s="60"/>
      <c r="G5" s="54"/>
      <c r="M5" s="54"/>
      <c r="S5" s="54"/>
      <c r="X5" s="54"/>
    </row>
    <row r="6" spans="1:25" ht="15.95" customHeight="1" thickBot="1">
      <c r="A6" s="54"/>
      <c r="G6" s="54"/>
      <c r="M6" s="54"/>
      <c r="S6" s="54"/>
      <c r="X6" s="54"/>
    </row>
    <row r="7" spans="1:25" ht="15.95" customHeight="1">
      <c r="A7" s="37" t="s">
        <v>17</v>
      </c>
      <c r="B7" s="61"/>
      <c r="C7" s="61"/>
      <c r="D7" s="61"/>
      <c r="E7" s="62"/>
      <c r="F7" s="61"/>
      <c r="G7" s="61"/>
      <c r="H7" s="61"/>
      <c r="I7" s="61"/>
      <c r="J7" s="61"/>
      <c r="K7" s="62"/>
      <c r="L7" s="61"/>
      <c r="M7" s="61"/>
      <c r="N7" s="61"/>
      <c r="O7" s="61"/>
      <c r="P7" s="61"/>
      <c r="Q7" s="62"/>
      <c r="R7" s="61"/>
      <c r="S7" s="61"/>
      <c r="T7" s="61"/>
      <c r="U7" s="61"/>
      <c r="V7" s="62"/>
      <c r="X7" s="54"/>
      <c r="Y7" s="63" t="s">
        <v>29</v>
      </c>
    </row>
    <row r="8" spans="1:25" ht="15.95" customHeight="1">
      <c r="A8" s="64"/>
      <c r="B8" s="65">
        <v>1</v>
      </c>
      <c r="C8" s="66">
        <v>2</v>
      </c>
      <c r="D8" s="66">
        <v>3</v>
      </c>
      <c r="E8" s="66">
        <v>4</v>
      </c>
      <c r="F8" s="66">
        <v>5</v>
      </c>
      <c r="G8" s="66">
        <v>6</v>
      </c>
      <c r="H8" s="66">
        <v>7</v>
      </c>
      <c r="I8" s="66">
        <v>8</v>
      </c>
      <c r="J8" s="66">
        <v>9</v>
      </c>
      <c r="K8" s="66">
        <v>10</v>
      </c>
      <c r="L8" s="66">
        <v>11</v>
      </c>
      <c r="M8" s="66">
        <v>12</v>
      </c>
      <c r="N8" s="66">
        <v>13</v>
      </c>
      <c r="O8" s="66">
        <v>14</v>
      </c>
      <c r="P8" s="66">
        <v>15</v>
      </c>
      <c r="Q8" s="66">
        <v>16</v>
      </c>
      <c r="R8" s="66">
        <v>17</v>
      </c>
      <c r="S8" s="66">
        <v>18</v>
      </c>
      <c r="T8" s="66">
        <v>19</v>
      </c>
      <c r="U8" s="66">
        <v>20</v>
      </c>
      <c r="V8" s="66">
        <v>21</v>
      </c>
      <c r="W8" s="66">
        <v>22</v>
      </c>
      <c r="X8" s="66">
        <v>23</v>
      </c>
      <c r="Y8" s="67">
        <v>24</v>
      </c>
    </row>
    <row r="9" spans="1:25" ht="15.95" customHeight="1">
      <c r="A9" s="68" t="s">
        <v>30</v>
      </c>
      <c r="B9" s="69">
        <v>28.5</v>
      </c>
      <c r="C9" s="70">
        <v>28.1</v>
      </c>
      <c r="D9" s="70">
        <v>27.9</v>
      </c>
      <c r="E9" s="70">
        <v>27.7</v>
      </c>
      <c r="F9" s="70">
        <v>27.6</v>
      </c>
      <c r="G9" s="70">
        <v>27.9</v>
      </c>
      <c r="H9" s="70">
        <v>28.9</v>
      </c>
      <c r="I9" s="70">
        <v>30</v>
      </c>
      <c r="J9" s="70">
        <v>31.3</v>
      </c>
      <c r="K9" s="70">
        <v>32.5</v>
      </c>
      <c r="L9" s="70">
        <v>33.200000000000003</v>
      </c>
      <c r="M9" s="138">
        <v>33.700000000000003</v>
      </c>
      <c r="N9" s="70">
        <v>33.9</v>
      </c>
      <c r="O9" s="70">
        <v>33.9</v>
      </c>
      <c r="P9" s="70">
        <v>33.4</v>
      </c>
      <c r="Q9" s="70">
        <v>32.9</v>
      </c>
      <c r="R9" s="70">
        <v>32</v>
      </c>
      <c r="S9" s="70">
        <v>31.3</v>
      </c>
      <c r="T9" s="70">
        <v>30.4</v>
      </c>
      <c r="U9" s="70">
        <v>29.8</v>
      </c>
      <c r="V9" s="70">
        <v>29.5</v>
      </c>
      <c r="W9" s="70">
        <v>29.2</v>
      </c>
      <c r="X9" s="70">
        <v>28.9</v>
      </c>
      <c r="Y9" s="71">
        <v>28.8</v>
      </c>
    </row>
    <row r="10" spans="1:25" ht="15.95" customHeight="1">
      <c r="A10" s="68" t="s">
        <v>31</v>
      </c>
      <c r="B10" s="69">
        <v>19.100000000000001</v>
      </c>
      <c r="C10" s="70">
        <v>19.100000000000001</v>
      </c>
      <c r="D10" s="70">
        <v>19.100000000000001</v>
      </c>
      <c r="E10" s="70">
        <v>19</v>
      </c>
      <c r="F10" s="70">
        <v>18.899999999999999</v>
      </c>
      <c r="G10" s="70">
        <v>19</v>
      </c>
      <c r="H10" s="70">
        <v>18.899999999999999</v>
      </c>
      <c r="I10" s="70">
        <v>18.8</v>
      </c>
      <c r="J10" s="70">
        <v>18.600000000000001</v>
      </c>
      <c r="K10" s="70">
        <v>18.5</v>
      </c>
      <c r="L10" s="70">
        <v>18.3</v>
      </c>
      <c r="M10" s="138">
        <v>18.600000000000001</v>
      </c>
      <c r="N10" s="70">
        <v>18.399999999999999</v>
      </c>
      <c r="O10" s="70">
        <v>18.100000000000001</v>
      </c>
      <c r="P10" s="70">
        <v>18.3</v>
      </c>
      <c r="Q10" s="70">
        <v>18.399999999999999</v>
      </c>
      <c r="R10" s="70">
        <v>18.5</v>
      </c>
      <c r="S10" s="70">
        <v>18.5</v>
      </c>
      <c r="T10" s="70">
        <v>18.5</v>
      </c>
      <c r="U10" s="70">
        <v>18.600000000000001</v>
      </c>
      <c r="V10" s="70">
        <v>18.8</v>
      </c>
      <c r="W10" s="70">
        <v>18.899999999999999</v>
      </c>
      <c r="X10" s="70">
        <v>19</v>
      </c>
      <c r="Y10" s="71">
        <v>19.100000000000001</v>
      </c>
    </row>
    <row r="11" spans="1:25" ht="15.95" customHeight="1">
      <c r="A11" s="68" t="s">
        <v>32</v>
      </c>
      <c r="B11" s="69">
        <v>77.400000000000006</v>
      </c>
      <c r="C11" s="70">
        <v>77</v>
      </c>
      <c r="D11" s="70">
        <v>76.8</v>
      </c>
      <c r="E11" s="70">
        <v>76.3</v>
      </c>
      <c r="F11" s="70">
        <v>76</v>
      </c>
      <c r="G11" s="70">
        <v>76.5</v>
      </c>
      <c r="H11" s="70">
        <v>77.3</v>
      </c>
      <c r="I11" s="70">
        <v>78.2</v>
      </c>
      <c r="J11" s="70">
        <v>79.099999999999994</v>
      </c>
      <c r="K11" s="70">
        <v>80</v>
      </c>
      <c r="L11" s="70">
        <v>80.3</v>
      </c>
      <c r="M11" s="138">
        <v>81.599999999999994</v>
      </c>
      <c r="N11" s="70">
        <v>81.2</v>
      </c>
      <c r="O11" s="70">
        <v>80.5</v>
      </c>
      <c r="P11" s="70">
        <v>80.5</v>
      </c>
      <c r="Q11" s="70">
        <v>80.2</v>
      </c>
      <c r="R11" s="70">
        <v>79.5</v>
      </c>
      <c r="S11" s="70">
        <v>78.8</v>
      </c>
      <c r="T11" s="70">
        <v>77.900000000000006</v>
      </c>
      <c r="U11" s="70">
        <v>77.5</v>
      </c>
      <c r="V11" s="70">
        <v>77.7</v>
      </c>
      <c r="W11" s="70">
        <v>77.599999999999994</v>
      </c>
      <c r="X11" s="70">
        <v>77.599999999999994</v>
      </c>
      <c r="Y11" s="71">
        <v>77.7</v>
      </c>
    </row>
    <row r="12" spans="1:25" ht="15.95" customHeight="1" thickBot="1">
      <c r="A12" s="54"/>
    </row>
    <row r="13" spans="1:25" ht="15.95" customHeight="1">
      <c r="A13" s="38" t="s">
        <v>18</v>
      </c>
      <c r="B13" s="61"/>
      <c r="C13" s="61"/>
      <c r="D13" s="61"/>
      <c r="E13" s="62"/>
      <c r="F13" s="61"/>
      <c r="G13" s="61"/>
      <c r="H13" s="61"/>
      <c r="I13" s="61"/>
      <c r="J13" s="61"/>
      <c r="K13" s="62"/>
      <c r="L13" s="61"/>
      <c r="M13" s="61"/>
      <c r="N13" s="61"/>
      <c r="O13" s="61"/>
      <c r="P13" s="61"/>
      <c r="Q13" s="62"/>
      <c r="R13" s="61"/>
      <c r="S13" s="61"/>
      <c r="T13" s="61"/>
      <c r="U13" s="61"/>
      <c r="V13" s="62"/>
      <c r="X13" s="54"/>
      <c r="Y13" s="63" t="s">
        <v>29</v>
      </c>
    </row>
    <row r="14" spans="1:25" ht="15.95" customHeight="1">
      <c r="A14" s="64"/>
      <c r="B14" s="65">
        <v>1</v>
      </c>
      <c r="C14" s="66">
        <v>2</v>
      </c>
      <c r="D14" s="66">
        <v>3</v>
      </c>
      <c r="E14" s="66">
        <v>4</v>
      </c>
      <c r="F14" s="66">
        <v>5</v>
      </c>
      <c r="G14" s="66">
        <v>6</v>
      </c>
      <c r="H14" s="66">
        <v>7</v>
      </c>
      <c r="I14" s="66">
        <v>8</v>
      </c>
      <c r="J14" s="66">
        <v>9</v>
      </c>
      <c r="K14" s="66">
        <v>10</v>
      </c>
      <c r="L14" s="66">
        <v>11</v>
      </c>
      <c r="M14" s="66">
        <v>12</v>
      </c>
      <c r="N14" s="66">
        <v>13</v>
      </c>
      <c r="O14" s="66">
        <v>14</v>
      </c>
      <c r="P14" s="66">
        <v>15</v>
      </c>
      <c r="Q14" s="66">
        <v>16</v>
      </c>
      <c r="R14" s="66">
        <v>17</v>
      </c>
      <c r="S14" s="66">
        <v>18</v>
      </c>
      <c r="T14" s="66">
        <v>19</v>
      </c>
      <c r="U14" s="66">
        <v>20</v>
      </c>
      <c r="V14" s="66">
        <v>21</v>
      </c>
      <c r="W14" s="66">
        <v>22</v>
      </c>
      <c r="X14" s="66">
        <v>23</v>
      </c>
      <c r="Y14" s="67">
        <v>24</v>
      </c>
    </row>
    <row r="15" spans="1:25" ht="15.95" customHeight="1">
      <c r="A15" s="68" t="s">
        <v>30</v>
      </c>
      <c r="B15" s="69">
        <v>27.8</v>
      </c>
      <c r="C15" s="70">
        <v>27.5</v>
      </c>
      <c r="D15" s="70">
        <v>27.3</v>
      </c>
      <c r="E15" s="70">
        <v>27.1</v>
      </c>
      <c r="F15" s="70">
        <v>27</v>
      </c>
      <c r="G15" s="70">
        <v>27.3</v>
      </c>
      <c r="H15" s="70">
        <v>28.4</v>
      </c>
      <c r="I15" s="70">
        <v>29.8</v>
      </c>
      <c r="J15" s="70">
        <v>31.1</v>
      </c>
      <c r="K15" s="70">
        <v>32.1</v>
      </c>
      <c r="L15" s="70">
        <v>33</v>
      </c>
      <c r="M15" s="70">
        <v>33.4</v>
      </c>
      <c r="N15" s="138">
        <v>33.6</v>
      </c>
      <c r="O15" s="70">
        <v>33.4</v>
      </c>
      <c r="P15" s="70">
        <v>32.9</v>
      </c>
      <c r="Q15" s="70">
        <v>32.5</v>
      </c>
      <c r="R15" s="70">
        <v>32</v>
      </c>
      <c r="S15" s="70">
        <v>31.1</v>
      </c>
      <c r="T15" s="70">
        <v>29.9</v>
      </c>
      <c r="U15" s="70">
        <v>29.1</v>
      </c>
      <c r="V15" s="70">
        <v>28.7</v>
      </c>
      <c r="W15" s="70">
        <v>28.4</v>
      </c>
      <c r="X15" s="70">
        <v>28.3</v>
      </c>
      <c r="Y15" s="71">
        <v>28</v>
      </c>
    </row>
    <row r="16" spans="1:25" ht="15.95" customHeight="1">
      <c r="A16" s="68" t="s">
        <v>31</v>
      </c>
      <c r="B16" s="69">
        <v>17.3</v>
      </c>
      <c r="C16" s="70">
        <v>17.399999999999999</v>
      </c>
      <c r="D16" s="70">
        <v>17.399999999999999</v>
      </c>
      <c r="E16" s="70">
        <v>17.399999999999999</v>
      </c>
      <c r="F16" s="70">
        <v>17.3</v>
      </c>
      <c r="G16" s="70">
        <v>17.3</v>
      </c>
      <c r="H16" s="70">
        <v>17.100000000000001</v>
      </c>
      <c r="I16" s="70">
        <v>16.899999999999999</v>
      </c>
      <c r="J16" s="70">
        <v>16.7</v>
      </c>
      <c r="K16" s="70">
        <v>16.600000000000001</v>
      </c>
      <c r="L16" s="70">
        <v>16.600000000000001</v>
      </c>
      <c r="M16" s="70">
        <v>16.7</v>
      </c>
      <c r="N16" s="138">
        <v>16.8</v>
      </c>
      <c r="O16" s="70">
        <v>16.600000000000001</v>
      </c>
      <c r="P16" s="70">
        <v>16.7</v>
      </c>
      <c r="Q16" s="70">
        <v>16.8</v>
      </c>
      <c r="R16" s="70">
        <v>17</v>
      </c>
      <c r="S16" s="70">
        <v>17.100000000000001</v>
      </c>
      <c r="T16" s="70">
        <v>17.2</v>
      </c>
      <c r="U16" s="70">
        <v>17.2</v>
      </c>
      <c r="V16" s="70">
        <v>17.2</v>
      </c>
      <c r="W16" s="70">
        <v>17.2</v>
      </c>
      <c r="X16" s="70">
        <v>17.3</v>
      </c>
      <c r="Y16" s="71">
        <v>17.399999999999999</v>
      </c>
    </row>
    <row r="17" spans="1:25" ht="15.95" customHeight="1">
      <c r="A17" s="68" t="s">
        <v>32</v>
      </c>
      <c r="B17" s="69">
        <v>72.099999999999994</v>
      </c>
      <c r="C17" s="70">
        <v>72</v>
      </c>
      <c r="D17" s="70">
        <v>71.8</v>
      </c>
      <c r="E17" s="70">
        <v>71.599999999999994</v>
      </c>
      <c r="F17" s="70">
        <v>71.3</v>
      </c>
      <c r="G17" s="70">
        <v>71.599999999999994</v>
      </c>
      <c r="H17" s="70">
        <v>72.2</v>
      </c>
      <c r="I17" s="70">
        <v>73.2</v>
      </c>
      <c r="J17" s="70">
        <v>74</v>
      </c>
      <c r="K17" s="70">
        <v>74.8</v>
      </c>
      <c r="L17" s="70">
        <v>75.7</v>
      </c>
      <c r="M17" s="70">
        <v>76.400000000000006</v>
      </c>
      <c r="N17" s="138">
        <v>76.8</v>
      </c>
      <c r="O17" s="70">
        <v>76.099999999999994</v>
      </c>
      <c r="P17" s="70">
        <v>75.900000000000006</v>
      </c>
      <c r="Q17" s="70">
        <v>75.7</v>
      </c>
      <c r="R17" s="70">
        <v>75.7</v>
      </c>
      <c r="S17" s="70">
        <v>75</v>
      </c>
      <c r="T17" s="70">
        <v>74</v>
      </c>
      <c r="U17" s="70">
        <v>73.2</v>
      </c>
      <c r="V17" s="70">
        <v>72.8</v>
      </c>
      <c r="W17" s="70">
        <v>72.5</v>
      </c>
      <c r="X17" s="70">
        <v>72.599999999999994</v>
      </c>
      <c r="Y17" s="71">
        <v>72.599999999999994</v>
      </c>
    </row>
    <row r="18" spans="1:25" ht="15.95" customHeight="1" thickBot="1">
      <c r="A18" s="54"/>
    </row>
    <row r="19" spans="1:25" ht="15.95" customHeight="1">
      <c r="A19" s="39" t="s">
        <v>19</v>
      </c>
      <c r="B19" s="61"/>
      <c r="C19" s="61"/>
      <c r="D19" s="61"/>
      <c r="E19" s="62"/>
      <c r="F19" s="61"/>
      <c r="G19" s="61"/>
      <c r="H19" s="61"/>
      <c r="I19" s="61"/>
      <c r="J19" s="61"/>
      <c r="K19" s="62"/>
      <c r="L19" s="61"/>
      <c r="M19" s="61"/>
      <c r="N19" s="61"/>
      <c r="O19" s="61"/>
      <c r="P19" s="61"/>
      <c r="Q19" s="62"/>
      <c r="R19" s="61"/>
      <c r="S19" s="61"/>
      <c r="T19" s="61"/>
      <c r="U19" s="61"/>
      <c r="V19" s="62"/>
      <c r="X19" s="54"/>
      <c r="Y19" s="63" t="s">
        <v>29</v>
      </c>
    </row>
    <row r="20" spans="1:25" ht="15.95" customHeight="1">
      <c r="A20" s="64"/>
      <c r="B20" s="65">
        <v>1</v>
      </c>
      <c r="C20" s="66">
        <v>2</v>
      </c>
      <c r="D20" s="66">
        <v>3</v>
      </c>
      <c r="E20" s="66">
        <v>4</v>
      </c>
      <c r="F20" s="66">
        <v>5</v>
      </c>
      <c r="G20" s="66">
        <v>6</v>
      </c>
      <c r="H20" s="66">
        <v>7</v>
      </c>
      <c r="I20" s="66">
        <v>8</v>
      </c>
      <c r="J20" s="66">
        <v>9</v>
      </c>
      <c r="K20" s="66">
        <v>10</v>
      </c>
      <c r="L20" s="66">
        <v>11</v>
      </c>
      <c r="M20" s="66">
        <v>12</v>
      </c>
      <c r="N20" s="66">
        <v>13</v>
      </c>
      <c r="O20" s="66">
        <v>14</v>
      </c>
      <c r="P20" s="66">
        <v>15</v>
      </c>
      <c r="Q20" s="66">
        <v>16</v>
      </c>
      <c r="R20" s="66">
        <v>17</v>
      </c>
      <c r="S20" s="66">
        <v>18</v>
      </c>
      <c r="T20" s="66">
        <v>19</v>
      </c>
      <c r="U20" s="66">
        <v>20</v>
      </c>
      <c r="V20" s="66">
        <v>21</v>
      </c>
      <c r="W20" s="66">
        <v>22</v>
      </c>
      <c r="X20" s="66">
        <v>23</v>
      </c>
      <c r="Y20" s="67">
        <v>24</v>
      </c>
    </row>
    <row r="21" spans="1:25" ht="15.95" customHeight="1">
      <c r="A21" s="68" t="s">
        <v>30</v>
      </c>
      <c r="B21" s="69">
        <v>25.8</v>
      </c>
      <c r="C21" s="70">
        <v>25.5</v>
      </c>
      <c r="D21" s="70">
        <v>25.3</v>
      </c>
      <c r="E21" s="70">
        <v>25.1</v>
      </c>
      <c r="F21" s="70">
        <v>24.9</v>
      </c>
      <c r="G21" s="70">
        <v>25.1</v>
      </c>
      <c r="H21" s="70">
        <v>26</v>
      </c>
      <c r="I21" s="70">
        <v>27.5</v>
      </c>
      <c r="J21" s="70">
        <v>28.8</v>
      </c>
      <c r="K21" s="70">
        <v>30.1</v>
      </c>
      <c r="L21" s="70">
        <v>30.9</v>
      </c>
      <c r="M21" s="137">
        <v>31.6</v>
      </c>
      <c r="N21" s="70">
        <v>31.8</v>
      </c>
      <c r="O21" s="70">
        <v>31.5</v>
      </c>
      <c r="P21" s="70">
        <v>31.1</v>
      </c>
      <c r="Q21" s="70">
        <v>30.7</v>
      </c>
      <c r="R21" s="70">
        <v>29.7</v>
      </c>
      <c r="S21" s="70">
        <v>28.7</v>
      </c>
      <c r="T21" s="70">
        <v>27.9</v>
      </c>
      <c r="U21" s="70">
        <v>27.3</v>
      </c>
      <c r="V21" s="70">
        <v>27</v>
      </c>
      <c r="W21" s="139">
        <v>26.8</v>
      </c>
      <c r="X21" s="70">
        <v>26.6</v>
      </c>
      <c r="Y21" s="71">
        <v>26.2</v>
      </c>
    </row>
    <row r="22" spans="1:25" ht="15.95" customHeight="1">
      <c r="A22" s="68" t="s">
        <v>31</v>
      </c>
      <c r="B22" s="69">
        <v>16.100000000000001</v>
      </c>
      <c r="C22" s="70">
        <v>16</v>
      </c>
      <c r="D22" s="70">
        <v>15.9</v>
      </c>
      <c r="E22" s="70">
        <v>15.7</v>
      </c>
      <c r="F22" s="70">
        <v>15.4</v>
      </c>
      <c r="G22" s="70">
        <v>15.2</v>
      </c>
      <c r="H22" s="70">
        <v>15</v>
      </c>
      <c r="I22" s="70">
        <v>14.6</v>
      </c>
      <c r="J22" s="70">
        <v>14.2</v>
      </c>
      <c r="K22" s="70">
        <v>14.1</v>
      </c>
      <c r="L22" s="70">
        <v>13.8</v>
      </c>
      <c r="M22" s="137">
        <v>13.7</v>
      </c>
      <c r="N22" s="70">
        <v>13.5</v>
      </c>
      <c r="O22" s="70">
        <v>13.4</v>
      </c>
      <c r="P22" s="70">
        <v>13.5</v>
      </c>
      <c r="Q22" s="70">
        <v>13.7</v>
      </c>
      <c r="R22" s="70">
        <v>13.9</v>
      </c>
      <c r="S22" s="70">
        <v>14.5</v>
      </c>
      <c r="T22" s="70">
        <v>15.2</v>
      </c>
      <c r="U22" s="70">
        <v>16</v>
      </c>
      <c r="V22" s="70">
        <v>16.5</v>
      </c>
      <c r="W22" s="139">
        <v>16.600000000000001</v>
      </c>
      <c r="X22" s="70">
        <v>16.399999999999999</v>
      </c>
      <c r="Y22" s="71">
        <v>16.3</v>
      </c>
    </row>
    <row r="23" spans="1:25" ht="15.95" customHeight="1">
      <c r="A23" s="68" t="s">
        <v>32</v>
      </c>
      <c r="B23" s="69">
        <v>67</v>
      </c>
      <c r="C23" s="70">
        <v>66.400000000000006</v>
      </c>
      <c r="D23" s="70">
        <v>65.900000000000006</v>
      </c>
      <c r="E23" s="70">
        <v>65.2</v>
      </c>
      <c r="F23" s="70">
        <v>64.3</v>
      </c>
      <c r="G23" s="70">
        <v>64</v>
      </c>
      <c r="H23" s="70">
        <v>64.400000000000006</v>
      </c>
      <c r="I23" s="70">
        <v>64.900000000000006</v>
      </c>
      <c r="J23" s="70">
        <v>65.2</v>
      </c>
      <c r="K23" s="70">
        <v>66.3</v>
      </c>
      <c r="L23" s="70">
        <v>66.400000000000006</v>
      </c>
      <c r="M23" s="137">
        <v>66.8</v>
      </c>
      <c r="N23" s="70">
        <v>66.5</v>
      </c>
      <c r="O23" s="70">
        <v>66</v>
      </c>
      <c r="P23" s="70">
        <v>65.8</v>
      </c>
      <c r="Q23" s="70">
        <v>65.900000000000006</v>
      </c>
      <c r="R23" s="70">
        <v>65.400000000000006</v>
      </c>
      <c r="S23" s="70">
        <v>65.900000000000006</v>
      </c>
      <c r="T23" s="70">
        <v>66.8</v>
      </c>
      <c r="U23" s="70">
        <v>68.3</v>
      </c>
      <c r="V23" s="70">
        <v>69.2</v>
      </c>
      <c r="W23" s="139">
        <v>69.3</v>
      </c>
      <c r="X23" s="70">
        <v>68.599999999999994</v>
      </c>
      <c r="Y23" s="71">
        <v>67.900000000000006</v>
      </c>
    </row>
    <row r="24" spans="1:25" ht="15.95" customHeight="1" thickBot="1">
      <c r="A24" s="73"/>
    </row>
    <row r="25" spans="1:25" ht="15.95" customHeight="1">
      <c r="A25" s="58" t="s">
        <v>33</v>
      </c>
      <c r="B25" s="59"/>
      <c r="C25" s="60"/>
    </row>
    <row r="26" spans="1:25" ht="15.95" customHeight="1" thickBot="1">
      <c r="A26" s="54"/>
    </row>
    <row r="27" spans="1:25" ht="15.95" customHeight="1">
      <c r="A27" s="74" t="s">
        <v>34</v>
      </c>
      <c r="B27" s="61"/>
      <c r="C27" s="61"/>
      <c r="D27" s="61"/>
      <c r="E27" s="62"/>
      <c r="F27" s="61"/>
      <c r="G27" s="61"/>
      <c r="H27" s="61"/>
      <c r="I27" s="61"/>
      <c r="J27" s="61"/>
      <c r="K27" s="62"/>
      <c r="L27" s="61"/>
      <c r="M27" s="61"/>
      <c r="N27" s="61"/>
      <c r="O27" s="61"/>
      <c r="P27" s="61"/>
      <c r="Q27" s="62"/>
      <c r="R27" s="61"/>
      <c r="S27" s="61"/>
      <c r="T27" s="61"/>
      <c r="U27" s="61"/>
      <c r="V27" s="62"/>
      <c r="X27" s="54"/>
    </row>
    <row r="28" spans="1:25" ht="15.95" customHeight="1">
      <c r="A28" s="75"/>
      <c r="B28" s="76" t="s">
        <v>35</v>
      </c>
      <c r="C28" s="77"/>
      <c r="D28" s="77"/>
      <c r="E28" s="78"/>
      <c r="F28" s="76" t="s">
        <v>36</v>
      </c>
      <c r="G28" s="77"/>
      <c r="H28" s="77"/>
      <c r="I28" s="77"/>
      <c r="J28" s="77"/>
      <c r="K28" s="78"/>
      <c r="L28" s="76" t="s">
        <v>37</v>
      </c>
      <c r="M28" s="77"/>
      <c r="N28" s="77"/>
      <c r="O28" s="78"/>
      <c r="S28" s="54"/>
      <c r="X28" s="54"/>
    </row>
    <row r="29" spans="1:25" ht="15.95" customHeight="1">
      <c r="A29" s="79"/>
      <c r="B29" s="80" t="s">
        <v>38</v>
      </c>
      <c r="C29" s="81"/>
      <c r="D29" s="80" t="s">
        <v>39</v>
      </c>
      <c r="E29" s="81"/>
      <c r="F29" s="80" t="s">
        <v>40</v>
      </c>
      <c r="G29" s="82"/>
      <c r="H29" s="80" t="s">
        <v>41</v>
      </c>
      <c r="I29" s="81"/>
      <c r="J29" s="82" t="s">
        <v>42</v>
      </c>
      <c r="K29" s="81"/>
      <c r="L29" s="80" t="s">
        <v>38</v>
      </c>
      <c r="M29" s="81"/>
      <c r="N29" s="80" t="s">
        <v>39</v>
      </c>
      <c r="O29" s="81"/>
      <c r="Q29" s="83"/>
      <c r="S29" s="54"/>
      <c r="X29" s="54"/>
    </row>
    <row r="30" spans="1:25" ht="15.95" customHeight="1">
      <c r="A30" s="84"/>
      <c r="B30" s="85" t="s">
        <v>44</v>
      </c>
      <c r="C30" s="86" t="s">
        <v>45</v>
      </c>
      <c r="D30" s="87" t="s">
        <v>44</v>
      </c>
      <c r="E30" s="88" t="s">
        <v>45</v>
      </c>
      <c r="F30" s="88" t="s">
        <v>38</v>
      </c>
      <c r="G30" s="89" t="s">
        <v>39</v>
      </c>
      <c r="H30" s="90" t="s">
        <v>38</v>
      </c>
      <c r="I30" s="91" t="s">
        <v>39</v>
      </c>
      <c r="J30" s="92" t="s">
        <v>38</v>
      </c>
      <c r="K30" s="91" t="s">
        <v>39</v>
      </c>
      <c r="L30" s="93" t="s">
        <v>44</v>
      </c>
      <c r="M30" s="86" t="s">
        <v>45</v>
      </c>
      <c r="N30" s="87" t="s">
        <v>44</v>
      </c>
      <c r="O30" s="94" t="s">
        <v>45</v>
      </c>
      <c r="Q30" s="95"/>
      <c r="S30" s="54"/>
      <c r="X30" s="54"/>
    </row>
    <row r="31" spans="1:25" ht="15.95" customHeight="1">
      <c r="A31" s="68" t="s">
        <v>30</v>
      </c>
      <c r="B31" s="96">
        <v>9</v>
      </c>
      <c r="C31" s="97">
        <v>2</v>
      </c>
      <c r="D31" s="98">
        <v>5</v>
      </c>
      <c r="E31" s="97">
        <v>-0.3</v>
      </c>
      <c r="F31" s="99">
        <v>2</v>
      </c>
      <c r="G31" s="97">
        <v>-0.3</v>
      </c>
      <c r="H31" s="97">
        <v>2</v>
      </c>
      <c r="I31" s="97">
        <v>-0.3</v>
      </c>
      <c r="J31" s="97">
        <v>2</v>
      </c>
      <c r="K31" s="97">
        <v>-0.3</v>
      </c>
      <c r="L31" s="100">
        <v>9</v>
      </c>
      <c r="M31" s="97">
        <v>2</v>
      </c>
      <c r="N31" s="98">
        <v>5</v>
      </c>
      <c r="O31" s="101">
        <v>-0.3</v>
      </c>
      <c r="Q31" s="95"/>
      <c r="S31" s="54"/>
      <c r="X31" s="54"/>
    </row>
    <row r="32" spans="1:25" ht="15.95" customHeight="1">
      <c r="A32" s="68" t="s">
        <v>31</v>
      </c>
      <c r="B32" s="102"/>
      <c r="C32" s="103">
        <v>1.4</v>
      </c>
      <c r="D32" s="98"/>
      <c r="E32" s="103">
        <v>1.4</v>
      </c>
      <c r="F32" s="104"/>
      <c r="G32" s="104"/>
      <c r="H32" s="104"/>
      <c r="I32" s="104"/>
      <c r="J32" s="105"/>
      <c r="K32" s="104"/>
      <c r="L32" s="98"/>
      <c r="M32" s="103">
        <v>1.4</v>
      </c>
      <c r="N32" s="98"/>
      <c r="O32" s="101">
        <v>1.4</v>
      </c>
      <c r="S32" s="54"/>
      <c r="X32" s="54"/>
    </row>
    <row r="33" spans="1:28" ht="15.95" customHeight="1">
      <c r="A33" s="68" t="s">
        <v>32</v>
      </c>
      <c r="B33" s="106"/>
      <c r="C33" s="103">
        <v>5.5</v>
      </c>
      <c r="D33" s="107"/>
      <c r="E33" s="103">
        <v>3.2</v>
      </c>
      <c r="F33" s="104"/>
      <c r="G33" s="104"/>
      <c r="H33" s="104"/>
      <c r="I33" s="104"/>
      <c r="J33" s="105"/>
      <c r="K33" s="104"/>
      <c r="L33" s="107"/>
      <c r="M33" s="103">
        <v>5.5</v>
      </c>
      <c r="N33" s="107"/>
      <c r="O33" s="101">
        <v>3.2</v>
      </c>
      <c r="S33" s="54"/>
      <c r="X33" s="54"/>
    </row>
    <row r="34" spans="1:28" ht="15.95" customHeight="1" thickBot="1">
      <c r="G34" s="54"/>
      <c r="I34" s="72"/>
      <c r="M34" s="54"/>
      <c r="Q34" s="72"/>
      <c r="S34" s="54"/>
      <c r="W34" s="72"/>
      <c r="X34" s="54"/>
      <c r="AB34" s="72"/>
    </row>
    <row r="35" spans="1:28" ht="15.95" customHeight="1">
      <c r="A35" s="109" t="s">
        <v>46</v>
      </c>
      <c r="B35" s="61"/>
      <c r="C35" s="61"/>
      <c r="D35" s="61"/>
      <c r="E35" s="61"/>
      <c r="F35" s="61"/>
      <c r="G35" s="62"/>
      <c r="H35" s="61"/>
      <c r="I35" s="61"/>
      <c r="J35" s="61"/>
      <c r="K35" s="61"/>
      <c r="L35" s="61"/>
      <c r="M35" s="61"/>
      <c r="N35" s="61"/>
      <c r="O35" s="62"/>
      <c r="P35" s="61"/>
      <c r="Q35" s="61"/>
      <c r="R35" s="61"/>
      <c r="S35" s="61"/>
      <c r="T35" s="61"/>
      <c r="U35" s="62"/>
      <c r="V35" s="61"/>
      <c r="W35" s="61"/>
      <c r="X35" s="61"/>
      <c r="Y35" s="61"/>
      <c r="Z35" s="62"/>
    </row>
    <row r="36" spans="1:28" ht="15.95" customHeight="1">
      <c r="A36" s="75"/>
      <c r="B36" s="76" t="s">
        <v>35</v>
      </c>
      <c r="C36" s="77"/>
      <c r="D36" s="77"/>
      <c r="E36" s="78"/>
      <c r="F36" s="76" t="s">
        <v>36</v>
      </c>
      <c r="G36" s="77"/>
      <c r="H36" s="77"/>
      <c r="I36" s="77"/>
      <c r="J36" s="77"/>
      <c r="K36" s="78"/>
      <c r="L36" s="76" t="s">
        <v>37</v>
      </c>
      <c r="M36" s="77"/>
      <c r="N36" s="77"/>
      <c r="O36" s="78"/>
      <c r="S36" s="54"/>
      <c r="X36" s="54"/>
    </row>
    <row r="37" spans="1:28" ht="15.95" customHeight="1">
      <c r="A37" s="79"/>
      <c r="B37" s="80" t="s">
        <v>38</v>
      </c>
      <c r="C37" s="81"/>
      <c r="D37" s="80" t="s">
        <v>39</v>
      </c>
      <c r="E37" s="81"/>
      <c r="F37" s="80" t="s">
        <v>40</v>
      </c>
      <c r="G37" s="82"/>
      <c r="H37" s="80" t="s">
        <v>41</v>
      </c>
      <c r="I37" s="81"/>
      <c r="J37" s="82" t="s">
        <v>42</v>
      </c>
      <c r="K37" s="81"/>
      <c r="L37" s="80" t="s">
        <v>38</v>
      </c>
      <c r="M37" s="81"/>
      <c r="N37" s="80" t="s">
        <v>39</v>
      </c>
      <c r="O37" s="81"/>
      <c r="S37" s="54"/>
      <c r="X37" s="54"/>
    </row>
    <row r="38" spans="1:28" ht="15.95" customHeight="1">
      <c r="A38" s="84"/>
      <c r="B38" s="85" t="s">
        <v>44</v>
      </c>
      <c r="C38" s="86" t="s">
        <v>45</v>
      </c>
      <c r="D38" s="87" t="s">
        <v>44</v>
      </c>
      <c r="E38" s="88" t="s">
        <v>45</v>
      </c>
      <c r="F38" s="88" t="s">
        <v>38</v>
      </c>
      <c r="G38" s="89" t="s">
        <v>39</v>
      </c>
      <c r="H38" s="90" t="s">
        <v>38</v>
      </c>
      <c r="I38" s="91" t="s">
        <v>39</v>
      </c>
      <c r="J38" s="92" t="s">
        <v>38</v>
      </c>
      <c r="K38" s="91" t="s">
        <v>39</v>
      </c>
      <c r="L38" s="93" t="s">
        <v>44</v>
      </c>
      <c r="M38" s="86" t="s">
        <v>45</v>
      </c>
      <c r="N38" s="87" t="s">
        <v>44</v>
      </c>
      <c r="O38" s="94" t="s">
        <v>45</v>
      </c>
      <c r="S38" s="54"/>
      <c r="X38" s="54"/>
    </row>
    <row r="39" spans="1:28" ht="15.95" customHeight="1">
      <c r="A39" s="68" t="s">
        <v>30</v>
      </c>
      <c r="B39" s="96">
        <v>9</v>
      </c>
      <c r="C39" s="97">
        <v>1.5</v>
      </c>
      <c r="D39" s="98">
        <v>8</v>
      </c>
      <c r="E39" s="97">
        <v>1.4</v>
      </c>
      <c r="F39" s="99">
        <v>1.5</v>
      </c>
      <c r="G39" s="97">
        <v>1.4</v>
      </c>
      <c r="H39" s="97">
        <v>1.5</v>
      </c>
      <c r="I39" s="97">
        <v>1.4</v>
      </c>
      <c r="J39" s="97">
        <v>1.5</v>
      </c>
      <c r="K39" s="97">
        <v>1.4</v>
      </c>
      <c r="L39" s="100">
        <v>9</v>
      </c>
      <c r="M39" s="97">
        <v>1.5</v>
      </c>
      <c r="N39" s="98">
        <v>5</v>
      </c>
      <c r="O39" s="101">
        <v>1.6</v>
      </c>
      <c r="S39" s="54"/>
      <c r="X39" s="54"/>
    </row>
    <row r="40" spans="1:28" ht="15.95" customHeight="1">
      <c r="A40" s="68" t="s">
        <v>31</v>
      </c>
      <c r="B40" s="102"/>
      <c r="C40" s="103">
        <v>3.1</v>
      </c>
      <c r="D40" s="98"/>
      <c r="E40" s="103">
        <v>3</v>
      </c>
      <c r="F40" s="104"/>
      <c r="G40" s="104"/>
      <c r="H40" s="104"/>
      <c r="I40" s="104"/>
      <c r="J40" s="105"/>
      <c r="K40" s="104"/>
      <c r="L40" s="98"/>
      <c r="M40" s="103">
        <v>3.1</v>
      </c>
      <c r="N40" s="98"/>
      <c r="O40" s="101">
        <v>2.8</v>
      </c>
      <c r="S40" s="54"/>
      <c r="X40" s="54"/>
    </row>
    <row r="41" spans="1:28" ht="15.95" customHeight="1">
      <c r="A41" s="68" t="s">
        <v>47</v>
      </c>
      <c r="B41" s="106"/>
      <c r="C41" s="103">
        <v>9.3000000000000007</v>
      </c>
      <c r="D41" s="107"/>
      <c r="E41" s="103">
        <v>8.9</v>
      </c>
      <c r="F41" s="104"/>
      <c r="G41" s="104"/>
      <c r="H41" s="104"/>
      <c r="I41" s="104"/>
      <c r="J41" s="105"/>
      <c r="K41" s="104"/>
      <c r="L41" s="107"/>
      <c r="M41" s="103">
        <v>9.3000000000000007</v>
      </c>
      <c r="N41" s="107"/>
      <c r="O41" s="101">
        <v>8.6</v>
      </c>
      <c r="Q41" s="83"/>
      <c r="S41" s="54"/>
      <c r="X41" s="54"/>
    </row>
    <row r="42" spans="1:28" ht="15.95" customHeight="1">
      <c r="A42" s="54" t="s">
        <v>48</v>
      </c>
    </row>
    <row r="43" spans="1:28" ht="15.95" customHeight="1">
      <c r="A43" s="83" t="s">
        <v>62</v>
      </c>
    </row>
    <row r="44" spans="1:28" ht="15.95" customHeight="1">
      <c r="A44" s="95" t="s">
        <v>63</v>
      </c>
    </row>
    <row r="45" spans="1:28" ht="15.95" customHeight="1">
      <c r="A45" s="95"/>
    </row>
    <row r="46" spans="1:28" ht="15.95" customHeight="1" thickBot="1">
      <c r="A46" s="54"/>
    </row>
    <row r="47" spans="1:28" ht="15.95" customHeight="1">
      <c r="A47" s="58" t="s">
        <v>49</v>
      </c>
      <c r="B47" s="59"/>
      <c r="C47" s="60"/>
    </row>
    <row r="48" spans="1:28" ht="15.95" customHeight="1">
      <c r="A48" s="54" t="s">
        <v>50</v>
      </c>
      <c r="J48" s="72"/>
      <c r="K48" s="72"/>
      <c r="M48" s="54" t="s">
        <v>51</v>
      </c>
      <c r="S48" s="54"/>
      <c r="U48" s="72"/>
      <c r="X48" s="63" t="s">
        <v>52</v>
      </c>
      <c r="Z48" s="72"/>
    </row>
    <row r="49" spans="1:28" ht="15.95" customHeight="1">
      <c r="A49" s="110"/>
      <c r="B49" s="111" t="s">
        <v>53</v>
      </c>
      <c r="C49" s="112"/>
      <c r="D49" s="113" t="s">
        <v>54</v>
      </c>
      <c r="E49" s="114"/>
      <c r="F49" s="115" t="s">
        <v>55</v>
      </c>
      <c r="G49" s="114"/>
      <c r="H49" s="112" t="s">
        <v>56</v>
      </c>
      <c r="I49" s="116"/>
      <c r="M49" s="117" t="s">
        <v>57</v>
      </c>
      <c r="N49" s="118"/>
      <c r="O49" s="119">
        <v>1</v>
      </c>
      <c r="P49" s="119">
        <v>2</v>
      </c>
      <c r="Q49" s="119">
        <v>3</v>
      </c>
      <c r="R49" s="119">
        <v>4</v>
      </c>
      <c r="S49" s="119">
        <v>5</v>
      </c>
      <c r="T49" s="119">
        <v>6</v>
      </c>
      <c r="U49" s="119">
        <v>7</v>
      </c>
      <c r="V49" s="119">
        <v>8</v>
      </c>
      <c r="W49" s="120">
        <v>9</v>
      </c>
      <c r="X49" s="121">
        <v>10</v>
      </c>
    </row>
    <row r="50" spans="1:28" ht="15.95" customHeight="1">
      <c r="A50" s="122" t="s">
        <v>58</v>
      </c>
      <c r="B50" s="123">
        <v>15.9</v>
      </c>
      <c r="C50" s="123"/>
      <c r="D50" s="124">
        <v>2.6</v>
      </c>
      <c r="E50" s="125"/>
      <c r="F50" s="123">
        <v>2.6</v>
      </c>
      <c r="G50" s="125"/>
      <c r="H50" s="123">
        <v>15.9</v>
      </c>
      <c r="I50" s="125"/>
      <c r="M50" s="126" t="s">
        <v>58</v>
      </c>
      <c r="N50" s="127"/>
      <c r="O50" s="128">
        <v>7.5</v>
      </c>
      <c r="P50" s="128">
        <v>9.3000000000000007</v>
      </c>
      <c r="Q50" s="128">
        <v>11</v>
      </c>
      <c r="R50" s="128">
        <v>12.1</v>
      </c>
      <c r="S50" s="128">
        <v>13.2</v>
      </c>
      <c r="T50" s="128">
        <v>13.9</v>
      </c>
      <c r="U50" s="128">
        <v>14.6</v>
      </c>
      <c r="V50" s="128">
        <v>15.1</v>
      </c>
      <c r="W50" s="129">
        <v>15.5</v>
      </c>
      <c r="X50" s="130">
        <v>16</v>
      </c>
    </row>
    <row r="51" spans="1:28" ht="15.95" customHeight="1">
      <c r="A51" s="131" t="s">
        <v>59</v>
      </c>
      <c r="B51" s="132">
        <v>15.9</v>
      </c>
      <c r="C51" s="132"/>
      <c r="D51" s="133">
        <v>2.6</v>
      </c>
      <c r="E51" s="134"/>
      <c r="F51" s="132">
        <v>2.6</v>
      </c>
      <c r="G51" s="134"/>
      <c r="H51" s="132">
        <v>15.9</v>
      </c>
      <c r="I51" s="134"/>
      <c r="M51" s="135" t="s">
        <v>59</v>
      </c>
      <c r="N51" s="136"/>
      <c r="O51" s="128">
        <v>7.5</v>
      </c>
      <c r="P51" s="128">
        <v>9.3000000000000007</v>
      </c>
      <c r="Q51" s="128">
        <v>11</v>
      </c>
      <c r="R51" s="128">
        <v>12.1</v>
      </c>
      <c r="S51" s="128">
        <v>13.2</v>
      </c>
      <c r="T51" s="128">
        <v>13.9</v>
      </c>
      <c r="U51" s="128">
        <v>14.6</v>
      </c>
      <c r="V51" s="128">
        <v>15.1</v>
      </c>
      <c r="W51" s="129">
        <v>15.5</v>
      </c>
      <c r="X51" s="130">
        <v>16</v>
      </c>
      <c r="AB51" s="72"/>
    </row>
    <row r="52" spans="1:28" ht="15.95" customHeight="1">
      <c r="A52" s="54" t="s">
        <v>48</v>
      </c>
      <c r="B52" s="54" t="s">
        <v>60</v>
      </c>
      <c r="M52" s="54" t="s">
        <v>48</v>
      </c>
      <c r="O52" s="54" t="s">
        <v>64</v>
      </c>
    </row>
    <row r="53" spans="1:28" ht="15.95" customHeight="1">
      <c r="A53" s="54"/>
    </row>
    <row r="54" spans="1:28" ht="15.95" customHeight="1">
      <c r="A54" s="54"/>
    </row>
  </sheetData>
  <mergeCells count="48">
    <mergeCell ref="B51:C51"/>
    <mergeCell ref="D51:E51"/>
    <mergeCell ref="F51:G51"/>
    <mergeCell ref="H51:I51"/>
    <mergeCell ref="M51:N51"/>
    <mergeCell ref="B49:C49"/>
    <mergeCell ref="D49:E49"/>
    <mergeCell ref="F49:G49"/>
    <mergeCell ref="H49:I49"/>
    <mergeCell ref="M49:N49"/>
    <mergeCell ref="B50:C50"/>
    <mergeCell ref="D50:E50"/>
    <mergeCell ref="F50:G50"/>
    <mergeCell ref="H50:I50"/>
    <mergeCell ref="M50:N50"/>
    <mergeCell ref="N37:O37"/>
    <mergeCell ref="B39:B41"/>
    <mergeCell ref="D39:D41"/>
    <mergeCell ref="L39:L41"/>
    <mergeCell ref="N39:N41"/>
    <mergeCell ref="A47:C47"/>
    <mergeCell ref="A36:A38"/>
    <mergeCell ref="B36:E36"/>
    <mergeCell ref="F36:K36"/>
    <mergeCell ref="L36:O36"/>
    <mergeCell ref="B37:C37"/>
    <mergeCell ref="D37:E37"/>
    <mergeCell ref="F37:G37"/>
    <mergeCell ref="H37:I37"/>
    <mergeCell ref="J37:K37"/>
    <mergeCell ref="L37:M37"/>
    <mergeCell ref="J29:K29"/>
    <mergeCell ref="L29:M29"/>
    <mergeCell ref="N29:O29"/>
    <mergeCell ref="B31:B33"/>
    <mergeCell ref="D31:D33"/>
    <mergeCell ref="L31:L33"/>
    <mergeCell ref="N31:N33"/>
    <mergeCell ref="A5:C5"/>
    <mergeCell ref="A25:C25"/>
    <mergeCell ref="A28:A30"/>
    <mergeCell ref="B28:E28"/>
    <mergeCell ref="F28:K28"/>
    <mergeCell ref="L28:O28"/>
    <mergeCell ref="B29:C29"/>
    <mergeCell ref="D29:E29"/>
    <mergeCell ref="F29:G29"/>
    <mergeCell ref="H29:I29"/>
  </mergeCells>
  <phoneticPr fontId="3"/>
  <printOptions horizontalCentered="1"/>
  <pageMargins left="0.70866141732283472" right="0.70866141732283472" top="0.78740157480314965" bottom="0.47244094488188981" header="0.59055118110236227" footer="0.31496062992125984"/>
  <pageSetup paperSize="9" scale="65" orientation="landscape" horizontalDpi="400" verticalDpi="400" r:id="rId1"/>
  <headerFooter scaleWithDoc="0">
    <oddFooter>&amp;C&amp;"ＭＳ Ｐゴシック,標準"&amp;9(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93</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65</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79</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66</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67</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68</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69</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70</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71</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72</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73</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74</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65</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80</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66</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67</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68</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69</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70</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71</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72</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73</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74</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65</v>
      </c>
      <c r="B29" s="145"/>
      <c r="C29" s="145"/>
      <c r="D29" s="39" t="s">
        <v>19</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81</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66</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67</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68</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69</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70</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71</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72</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73</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74</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75</v>
      </c>
      <c r="B42" s="145"/>
      <c r="C42" s="145"/>
      <c r="D42" s="145"/>
      <c r="E42" s="145"/>
      <c r="G42" s="145"/>
      <c r="H42" s="145"/>
      <c r="I42" s="145"/>
      <c r="J42" s="145"/>
      <c r="K42" s="145"/>
    </row>
    <row r="43" spans="1:25" ht="15" customHeight="1">
      <c r="A43" s="168" t="s">
        <v>76</v>
      </c>
      <c r="B43" s="169" t="s">
        <v>77</v>
      </c>
      <c r="C43" s="170" t="s">
        <v>78</v>
      </c>
      <c r="D43" s="169" t="s">
        <v>77</v>
      </c>
      <c r="E43" s="170" t="s">
        <v>78</v>
      </c>
      <c r="F43" s="169" t="s">
        <v>77</v>
      </c>
      <c r="G43" s="170" t="s">
        <v>78</v>
      </c>
      <c r="H43" s="169" t="s">
        <v>77</v>
      </c>
      <c r="I43" s="170" t="s">
        <v>78</v>
      </c>
      <c r="J43" s="169" t="s">
        <v>77</v>
      </c>
      <c r="K43" s="170" t="s">
        <v>78</v>
      </c>
      <c r="L43" s="169" t="s">
        <v>77</v>
      </c>
      <c r="M43" s="171" t="s">
        <v>77</v>
      </c>
      <c r="N43" s="169" t="s">
        <v>77</v>
      </c>
      <c r="P43" s="73" t="s">
        <v>48</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82</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83</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84</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85</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86</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87</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88</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89</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90</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91</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92</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95</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65</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94</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66</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67</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68</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69</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70</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71</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72</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73</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74</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65</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94</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66</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67</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68</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69</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70</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71</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72</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73</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74</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65</v>
      </c>
      <c r="B29" s="145"/>
      <c r="C29" s="145"/>
      <c r="D29" s="39" t="s">
        <v>19</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94</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66</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67</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68</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69</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70</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71</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72</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73</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74</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75</v>
      </c>
      <c r="B42" s="145"/>
      <c r="C42" s="145"/>
      <c r="D42" s="145"/>
      <c r="E42" s="145"/>
      <c r="G42" s="145"/>
      <c r="H42" s="145"/>
      <c r="I42" s="145"/>
      <c r="J42" s="145"/>
      <c r="K42" s="145"/>
    </row>
    <row r="43" spans="1:25" ht="15" customHeight="1">
      <c r="A43" s="168" t="s">
        <v>76</v>
      </c>
      <c r="B43" s="169" t="s">
        <v>77</v>
      </c>
      <c r="C43" s="170" t="s">
        <v>78</v>
      </c>
      <c r="D43" s="169" t="s">
        <v>77</v>
      </c>
      <c r="E43" s="170" t="s">
        <v>78</v>
      </c>
      <c r="F43" s="169" t="s">
        <v>77</v>
      </c>
      <c r="G43" s="170" t="s">
        <v>78</v>
      </c>
      <c r="H43" s="169" t="s">
        <v>77</v>
      </c>
      <c r="I43" s="170" t="s">
        <v>78</v>
      </c>
      <c r="J43" s="169" t="s">
        <v>77</v>
      </c>
      <c r="K43" s="170" t="s">
        <v>78</v>
      </c>
      <c r="L43" s="169" t="s">
        <v>77</v>
      </c>
      <c r="M43" s="171" t="s">
        <v>77</v>
      </c>
      <c r="N43" s="169" t="s">
        <v>77</v>
      </c>
      <c r="P43" s="73" t="s">
        <v>48</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82</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83</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84</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85</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86</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87</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88</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89</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90</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91</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92</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101</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65</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96</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66</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67</v>
      </c>
      <c r="B7" s="159" t="s">
        <v>97</v>
      </c>
      <c r="C7" s="160" t="s">
        <v>97</v>
      </c>
      <c r="D7" s="160" t="s">
        <v>97</v>
      </c>
      <c r="E7" s="160" t="s">
        <v>97</v>
      </c>
      <c r="F7" s="160" t="s">
        <v>97</v>
      </c>
      <c r="G7" s="160" t="s">
        <v>97</v>
      </c>
      <c r="H7" s="160" t="s">
        <v>97</v>
      </c>
      <c r="I7" s="160" t="s">
        <v>97</v>
      </c>
      <c r="J7" s="160" t="s">
        <v>97</v>
      </c>
      <c r="K7" s="160" t="s">
        <v>97</v>
      </c>
      <c r="L7" s="160" t="s">
        <v>97</v>
      </c>
      <c r="M7" s="160" t="s">
        <v>97</v>
      </c>
      <c r="N7" s="160" t="s">
        <v>97</v>
      </c>
      <c r="O7" s="160" t="s">
        <v>97</v>
      </c>
      <c r="P7" s="160" t="s">
        <v>97</v>
      </c>
      <c r="Q7" s="160" t="s">
        <v>97</v>
      </c>
      <c r="R7" s="160" t="s">
        <v>97</v>
      </c>
      <c r="S7" s="160" t="s">
        <v>97</v>
      </c>
      <c r="T7" s="161" t="s">
        <v>97</v>
      </c>
      <c r="U7" s="161" t="s">
        <v>97</v>
      </c>
      <c r="V7" s="161" t="s">
        <v>97</v>
      </c>
      <c r="W7" s="161" t="s">
        <v>97</v>
      </c>
      <c r="X7" s="161" t="s">
        <v>97</v>
      </c>
      <c r="Y7" s="162" t="s">
        <v>97</v>
      </c>
    </row>
    <row r="8" spans="1:25" ht="12" customHeight="1">
      <c r="A8" s="158" t="s">
        <v>68</v>
      </c>
      <c r="B8" s="159" t="s">
        <v>97</v>
      </c>
      <c r="C8" s="160" t="s">
        <v>97</v>
      </c>
      <c r="D8" s="160" t="s">
        <v>97</v>
      </c>
      <c r="E8" s="160" t="s">
        <v>97</v>
      </c>
      <c r="F8" s="160" t="s">
        <v>97</v>
      </c>
      <c r="G8" s="160" t="s">
        <v>97</v>
      </c>
      <c r="H8" s="160" t="s">
        <v>97</v>
      </c>
      <c r="I8" s="160" t="s">
        <v>97</v>
      </c>
      <c r="J8" s="160" t="s">
        <v>97</v>
      </c>
      <c r="K8" s="160" t="s">
        <v>97</v>
      </c>
      <c r="L8" s="160" t="s">
        <v>97</v>
      </c>
      <c r="M8" s="160" t="s">
        <v>97</v>
      </c>
      <c r="N8" s="160" t="s">
        <v>97</v>
      </c>
      <c r="O8" s="160" t="s">
        <v>97</v>
      </c>
      <c r="P8" s="160" t="s">
        <v>97</v>
      </c>
      <c r="Q8" s="160" t="s">
        <v>97</v>
      </c>
      <c r="R8" s="160" t="s">
        <v>97</v>
      </c>
      <c r="S8" s="160" t="s">
        <v>97</v>
      </c>
      <c r="T8" s="161" t="s">
        <v>97</v>
      </c>
      <c r="U8" s="161" t="s">
        <v>97</v>
      </c>
      <c r="V8" s="161" t="s">
        <v>97</v>
      </c>
      <c r="W8" s="161" t="s">
        <v>97</v>
      </c>
      <c r="X8" s="161" t="s">
        <v>97</v>
      </c>
      <c r="Y8" s="162" t="s">
        <v>97</v>
      </c>
    </row>
    <row r="9" spans="1:25" ht="12" customHeight="1">
      <c r="A9" s="158" t="s">
        <v>69</v>
      </c>
      <c r="B9" s="159" t="s">
        <v>97</v>
      </c>
      <c r="C9" s="160" t="s">
        <v>97</v>
      </c>
      <c r="D9" s="160" t="s">
        <v>97</v>
      </c>
      <c r="E9" s="160" t="s">
        <v>97</v>
      </c>
      <c r="F9" s="160" t="s">
        <v>97</v>
      </c>
      <c r="G9" s="160" t="s">
        <v>97</v>
      </c>
      <c r="H9" s="160" t="s">
        <v>97</v>
      </c>
      <c r="I9" s="160" t="s">
        <v>97</v>
      </c>
      <c r="J9" s="160" t="s">
        <v>97</v>
      </c>
      <c r="K9" s="160" t="s">
        <v>97</v>
      </c>
      <c r="L9" s="160" t="s">
        <v>97</v>
      </c>
      <c r="M9" s="160" t="s">
        <v>97</v>
      </c>
      <c r="N9" s="160" t="s">
        <v>97</v>
      </c>
      <c r="O9" s="160" t="s">
        <v>97</v>
      </c>
      <c r="P9" s="160" t="s">
        <v>97</v>
      </c>
      <c r="Q9" s="160" t="s">
        <v>97</v>
      </c>
      <c r="R9" s="160" t="s">
        <v>97</v>
      </c>
      <c r="S9" s="160" t="s">
        <v>97</v>
      </c>
      <c r="T9" s="161" t="s">
        <v>97</v>
      </c>
      <c r="U9" s="161" t="s">
        <v>97</v>
      </c>
      <c r="V9" s="161" t="s">
        <v>97</v>
      </c>
      <c r="W9" s="161" t="s">
        <v>97</v>
      </c>
      <c r="X9" s="161" t="s">
        <v>97</v>
      </c>
      <c r="Y9" s="162" t="s">
        <v>97</v>
      </c>
    </row>
    <row r="10" spans="1:25" ht="12" customHeight="1">
      <c r="A10" s="158" t="s">
        <v>70</v>
      </c>
      <c r="B10" s="159" t="s">
        <v>97</v>
      </c>
      <c r="C10" s="160" t="s">
        <v>97</v>
      </c>
      <c r="D10" s="160" t="s">
        <v>97</v>
      </c>
      <c r="E10" s="160" t="s">
        <v>97</v>
      </c>
      <c r="F10" s="160" t="s">
        <v>97</v>
      </c>
      <c r="G10" s="160" t="s">
        <v>97</v>
      </c>
      <c r="H10" s="160" t="s">
        <v>97</v>
      </c>
      <c r="I10" s="160" t="s">
        <v>97</v>
      </c>
      <c r="J10" s="160" t="s">
        <v>97</v>
      </c>
      <c r="K10" s="160" t="s">
        <v>97</v>
      </c>
      <c r="L10" s="160" t="s">
        <v>97</v>
      </c>
      <c r="M10" s="160" t="s">
        <v>97</v>
      </c>
      <c r="N10" s="160" t="s">
        <v>97</v>
      </c>
      <c r="O10" s="160" t="s">
        <v>97</v>
      </c>
      <c r="P10" s="160" t="s">
        <v>97</v>
      </c>
      <c r="Q10" s="160" t="s">
        <v>97</v>
      </c>
      <c r="R10" s="160" t="s">
        <v>97</v>
      </c>
      <c r="S10" s="160" t="s">
        <v>97</v>
      </c>
      <c r="T10" s="161" t="s">
        <v>97</v>
      </c>
      <c r="U10" s="161" t="s">
        <v>97</v>
      </c>
      <c r="V10" s="161" t="s">
        <v>97</v>
      </c>
      <c r="W10" s="161" t="s">
        <v>97</v>
      </c>
      <c r="X10" s="161" t="s">
        <v>97</v>
      </c>
      <c r="Y10" s="162" t="s">
        <v>97</v>
      </c>
    </row>
    <row r="11" spans="1:25" ht="12" customHeight="1">
      <c r="A11" s="158" t="s">
        <v>71</v>
      </c>
      <c r="B11" s="159" t="s">
        <v>97</v>
      </c>
      <c r="C11" s="160" t="s">
        <v>97</v>
      </c>
      <c r="D11" s="160" t="s">
        <v>97</v>
      </c>
      <c r="E11" s="160" t="s">
        <v>97</v>
      </c>
      <c r="F11" s="160" t="s">
        <v>97</v>
      </c>
      <c r="G11" s="160" t="s">
        <v>97</v>
      </c>
      <c r="H11" s="160" t="s">
        <v>97</v>
      </c>
      <c r="I11" s="160" t="s">
        <v>97</v>
      </c>
      <c r="J11" s="160" t="s">
        <v>97</v>
      </c>
      <c r="K11" s="160" t="s">
        <v>97</v>
      </c>
      <c r="L11" s="160" t="s">
        <v>97</v>
      </c>
      <c r="M11" s="160" t="s">
        <v>97</v>
      </c>
      <c r="N11" s="160" t="s">
        <v>97</v>
      </c>
      <c r="O11" s="160" t="s">
        <v>97</v>
      </c>
      <c r="P11" s="160" t="s">
        <v>97</v>
      </c>
      <c r="Q11" s="160" t="s">
        <v>97</v>
      </c>
      <c r="R11" s="160" t="s">
        <v>97</v>
      </c>
      <c r="S11" s="160" t="s">
        <v>97</v>
      </c>
      <c r="T11" s="161" t="s">
        <v>97</v>
      </c>
      <c r="U11" s="161" t="s">
        <v>97</v>
      </c>
      <c r="V11" s="161" t="s">
        <v>97</v>
      </c>
      <c r="W11" s="161" t="s">
        <v>97</v>
      </c>
      <c r="X11" s="161" t="s">
        <v>97</v>
      </c>
      <c r="Y11" s="162" t="s">
        <v>97</v>
      </c>
    </row>
    <row r="12" spans="1:25" ht="12" customHeight="1">
      <c r="A12" s="158" t="s">
        <v>72</v>
      </c>
      <c r="B12" s="159" t="s">
        <v>97</v>
      </c>
      <c r="C12" s="160" t="s">
        <v>97</v>
      </c>
      <c r="D12" s="160" t="s">
        <v>97</v>
      </c>
      <c r="E12" s="160" t="s">
        <v>97</v>
      </c>
      <c r="F12" s="160" t="s">
        <v>97</v>
      </c>
      <c r="G12" s="160" t="s">
        <v>97</v>
      </c>
      <c r="H12" s="160" t="s">
        <v>97</v>
      </c>
      <c r="I12" s="160" t="s">
        <v>97</v>
      </c>
      <c r="J12" s="160" t="s">
        <v>97</v>
      </c>
      <c r="K12" s="160" t="s">
        <v>97</v>
      </c>
      <c r="L12" s="160" t="s">
        <v>97</v>
      </c>
      <c r="M12" s="160" t="s">
        <v>97</v>
      </c>
      <c r="N12" s="160" t="s">
        <v>97</v>
      </c>
      <c r="O12" s="160" t="s">
        <v>97</v>
      </c>
      <c r="P12" s="160" t="s">
        <v>97</v>
      </c>
      <c r="Q12" s="160" t="s">
        <v>97</v>
      </c>
      <c r="R12" s="160" t="s">
        <v>97</v>
      </c>
      <c r="S12" s="160" t="s">
        <v>97</v>
      </c>
      <c r="T12" s="161" t="s">
        <v>97</v>
      </c>
      <c r="U12" s="161" t="s">
        <v>97</v>
      </c>
      <c r="V12" s="161" t="s">
        <v>97</v>
      </c>
      <c r="W12" s="161" t="s">
        <v>97</v>
      </c>
      <c r="X12" s="161" t="s">
        <v>97</v>
      </c>
      <c r="Y12" s="162" t="s">
        <v>97</v>
      </c>
    </row>
    <row r="13" spans="1:25" ht="12" customHeight="1">
      <c r="A13" s="158" t="s">
        <v>73</v>
      </c>
      <c r="B13" s="159" t="s">
        <v>97</v>
      </c>
      <c r="C13" s="160" t="s">
        <v>97</v>
      </c>
      <c r="D13" s="160" t="s">
        <v>97</v>
      </c>
      <c r="E13" s="160" t="s">
        <v>97</v>
      </c>
      <c r="F13" s="160" t="s">
        <v>97</v>
      </c>
      <c r="G13" s="160" t="s">
        <v>97</v>
      </c>
      <c r="H13" s="160" t="s">
        <v>97</v>
      </c>
      <c r="I13" s="160" t="s">
        <v>97</v>
      </c>
      <c r="J13" s="160" t="s">
        <v>97</v>
      </c>
      <c r="K13" s="160" t="s">
        <v>97</v>
      </c>
      <c r="L13" s="160" t="s">
        <v>97</v>
      </c>
      <c r="M13" s="160" t="s">
        <v>97</v>
      </c>
      <c r="N13" s="160" t="s">
        <v>97</v>
      </c>
      <c r="O13" s="160" t="s">
        <v>97</v>
      </c>
      <c r="P13" s="160" t="s">
        <v>97</v>
      </c>
      <c r="Q13" s="160" t="s">
        <v>97</v>
      </c>
      <c r="R13" s="160" t="s">
        <v>97</v>
      </c>
      <c r="S13" s="160" t="s">
        <v>97</v>
      </c>
      <c r="T13" s="161" t="s">
        <v>97</v>
      </c>
      <c r="U13" s="161" t="s">
        <v>97</v>
      </c>
      <c r="V13" s="161" t="s">
        <v>97</v>
      </c>
      <c r="W13" s="161" t="s">
        <v>97</v>
      </c>
      <c r="X13" s="161" t="s">
        <v>97</v>
      </c>
      <c r="Y13" s="162" t="s">
        <v>97</v>
      </c>
    </row>
    <row r="14" spans="1:25" ht="12" customHeight="1">
      <c r="A14" s="163" t="s">
        <v>74</v>
      </c>
      <c r="B14" s="164" t="s">
        <v>97</v>
      </c>
      <c r="C14" s="165" t="s">
        <v>97</v>
      </c>
      <c r="D14" s="165" t="s">
        <v>97</v>
      </c>
      <c r="E14" s="165" t="s">
        <v>97</v>
      </c>
      <c r="F14" s="165" t="s">
        <v>97</v>
      </c>
      <c r="G14" s="165" t="s">
        <v>97</v>
      </c>
      <c r="H14" s="165" t="s">
        <v>97</v>
      </c>
      <c r="I14" s="165" t="s">
        <v>97</v>
      </c>
      <c r="J14" s="165" t="s">
        <v>97</v>
      </c>
      <c r="K14" s="165" t="s">
        <v>97</v>
      </c>
      <c r="L14" s="165" t="s">
        <v>97</v>
      </c>
      <c r="M14" s="165" t="s">
        <v>97</v>
      </c>
      <c r="N14" s="165" t="s">
        <v>97</v>
      </c>
      <c r="O14" s="165" t="s">
        <v>97</v>
      </c>
      <c r="P14" s="165" t="s">
        <v>97</v>
      </c>
      <c r="Q14" s="165" t="s">
        <v>97</v>
      </c>
      <c r="R14" s="165" t="s">
        <v>97</v>
      </c>
      <c r="S14" s="165" t="s">
        <v>97</v>
      </c>
      <c r="T14" s="166" t="s">
        <v>97</v>
      </c>
      <c r="U14" s="166" t="s">
        <v>97</v>
      </c>
      <c r="V14" s="166" t="s">
        <v>97</v>
      </c>
      <c r="W14" s="166" t="s">
        <v>97</v>
      </c>
      <c r="X14" s="166" t="s">
        <v>97</v>
      </c>
      <c r="Y14" s="167" t="s">
        <v>97</v>
      </c>
    </row>
    <row r="15" spans="1:25" ht="12" customHeight="1" thickBot="1"/>
    <row r="16" spans="1:25" ht="12" customHeight="1">
      <c r="A16" s="145" t="s">
        <v>65</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96</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66</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67</v>
      </c>
      <c r="B20" s="159" t="s">
        <v>97</v>
      </c>
      <c r="C20" s="160" t="s">
        <v>97</v>
      </c>
      <c r="D20" s="160" t="s">
        <v>97</v>
      </c>
      <c r="E20" s="160" t="s">
        <v>97</v>
      </c>
      <c r="F20" s="160" t="s">
        <v>97</v>
      </c>
      <c r="G20" s="160" t="s">
        <v>97</v>
      </c>
      <c r="H20" s="160" t="s">
        <v>97</v>
      </c>
      <c r="I20" s="160" t="s">
        <v>97</v>
      </c>
      <c r="J20" s="160" t="s">
        <v>97</v>
      </c>
      <c r="K20" s="160" t="s">
        <v>97</v>
      </c>
      <c r="L20" s="160" t="s">
        <v>97</v>
      </c>
      <c r="M20" s="160" t="s">
        <v>97</v>
      </c>
      <c r="N20" s="160" t="s">
        <v>97</v>
      </c>
      <c r="O20" s="160" t="s">
        <v>97</v>
      </c>
      <c r="P20" s="160" t="s">
        <v>97</v>
      </c>
      <c r="Q20" s="160" t="s">
        <v>97</v>
      </c>
      <c r="R20" s="160" t="s">
        <v>97</v>
      </c>
      <c r="S20" s="160" t="s">
        <v>97</v>
      </c>
      <c r="T20" s="161" t="s">
        <v>97</v>
      </c>
      <c r="U20" s="161" t="s">
        <v>97</v>
      </c>
      <c r="V20" s="161" t="s">
        <v>97</v>
      </c>
      <c r="W20" s="161" t="s">
        <v>97</v>
      </c>
      <c r="X20" s="161" t="s">
        <v>97</v>
      </c>
      <c r="Y20" s="162" t="s">
        <v>97</v>
      </c>
    </row>
    <row r="21" spans="1:25" ht="12" customHeight="1">
      <c r="A21" s="158" t="s">
        <v>68</v>
      </c>
      <c r="B21" s="159" t="s">
        <v>97</v>
      </c>
      <c r="C21" s="160" t="s">
        <v>97</v>
      </c>
      <c r="D21" s="160" t="s">
        <v>97</v>
      </c>
      <c r="E21" s="160" t="s">
        <v>97</v>
      </c>
      <c r="F21" s="160" t="s">
        <v>97</v>
      </c>
      <c r="G21" s="160" t="s">
        <v>97</v>
      </c>
      <c r="H21" s="160" t="s">
        <v>97</v>
      </c>
      <c r="I21" s="160" t="s">
        <v>97</v>
      </c>
      <c r="J21" s="160" t="s">
        <v>97</v>
      </c>
      <c r="K21" s="160" t="s">
        <v>97</v>
      </c>
      <c r="L21" s="160" t="s">
        <v>97</v>
      </c>
      <c r="M21" s="160" t="s">
        <v>97</v>
      </c>
      <c r="N21" s="160" t="s">
        <v>97</v>
      </c>
      <c r="O21" s="160" t="s">
        <v>97</v>
      </c>
      <c r="P21" s="160" t="s">
        <v>97</v>
      </c>
      <c r="Q21" s="160" t="s">
        <v>97</v>
      </c>
      <c r="R21" s="160" t="s">
        <v>97</v>
      </c>
      <c r="S21" s="160" t="s">
        <v>97</v>
      </c>
      <c r="T21" s="161" t="s">
        <v>97</v>
      </c>
      <c r="U21" s="161" t="s">
        <v>97</v>
      </c>
      <c r="V21" s="161" t="s">
        <v>97</v>
      </c>
      <c r="W21" s="161" t="s">
        <v>97</v>
      </c>
      <c r="X21" s="161" t="s">
        <v>97</v>
      </c>
      <c r="Y21" s="162" t="s">
        <v>97</v>
      </c>
    </row>
    <row r="22" spans="1:25" ht="12" customHeight="1">
      <c r="A22" s="158" t="s">
        <v>69</v>
      </c>
      <c r="B22" s="159" t="s">
        <v>97</v>
      </c>
      <c r="C22" s="160" t="s">
        <v>97</v>
      </c>
      <c r="D22" s="160" t="s">
        <v>97</v>
      </c>
      <c r="E22" s="160" t="s">
        <v>97</v>
      </c>
      <c r="F22" s="160" t="s">
        <v>97</v>
      </c>
      <c r="G22" s="160" t="s">
        <v>97</v>
      </c>
      <c r="H22" s="160" t="s">
        <v>97</v>
      </c>
      <c r="I22" s="160" t="s">
        <v>97</v>
      </c>
      <c r="J22" s="160" t="s">
        <v>97</v>
      </c>
      <c r="K22" s="160" t="s">
        <v>97</v>
      </c>
      <c r="L22" s="160" t="s">
        <v>97</v>
      </c>
      <c r="M22" s="160" t="s">
        <v>97</v>
      </c>
      <c r="N22" s="160" t="s">
        <v>97</v>
      </c>
      <c r="O22" s="160" t="s">
        <v>97</v>
      </c>
      <c r="P22" s="160" t="s">
        <v>97</v>
      </c>
      <c r="Q22" s="160" t="s">
        <v>97</v>
      </c>
      <c r="R22" s="160" t="s">
        <v>97</v>
      </c>
      <c r="S22" s="160" t="s">
        <v>97</v>
      </c>
      <c r="T22" s="161" t="s">
        <v>97</v>
      </c>
      <c r="U22" s="161" t="s">
        <v>97</v>
      </c>
      <c r="V22" s="161" t="s">
        <v>97</v>
      </c>
      <c r="W22" s="161" t="s">
        <v>97</v>
      </c>
      <c r="X22" s="161" t="s">
        <v>97</v>
      </c>
      <c r="Y22" s="162" t="s">
        <v>97</v>
      </c>
    </row>
    <row r="23" spans="1:25" ht="12" customHeight="1">
      <c r="A23" s="158" t="s">
        <v>70</v>
      </c>
      <c r="B23" s="159" t="s">
        <v>97</v>
      </c>
      <c r="C23" s="160" t="s">
        <v>97</v>
      </c>
      <c r="D23" s="160" t="s">
        <v>97</v>
      </c>
      <c r="E23" s="160" t="s">
        <v>97</v>
      </c>
      <c r="F23" s="160" t="s">
        <v>97</v>
      </c>
      <c r="G23" s="160" t="s">
        <v>97</v>
      </c>
      <c r="H23" s="160" t="s">
        <v>97</v>
      </c>
      <c r="I23" s="160" t="s">
        <v>97</v>
      </c>
      <c r="J23" s="160" t="s">
        <v>97</v>
      </c>
      <c r="K23" s="160" t="s">
        <v>97</v>
      </c>
      <c r="L23" s="160" t="s">
        <v>97</v>
      </c>
      <c r="M23" s="160" t="s">
        <v>97</v>
      </c>
      <c r="N23" s="160" t="s">
        <v>97</v>
      </c>
      <c r="O23" s="160" t="s">
        <v>97</v>
      </c>
      <c r="P23" s="160" t="s">
        <v>97</v>
      </c>
      <c r="Q23" s="160" t="s">
        <v>97</v>
      </c>
      <c r="R23" s="160" t="s">
        <v>97</v>
      </c>
      <c r="S23" s="160" t="s">
        <v>97</v>
      </c>
      <c r="T23" s="161" t="s">
        <v>97</v>
      </c>
      <c r="U23" s="161" t="s">
        <v>97</v>
      </c>
      <c r="V23" s="161" t="s">
        <v>97</v>
      </c>
      <c r="W23" s="161" t="s">
        <v>97</v>
      </c>
      <c r="X23" s="161" t="s">
        <v>97</v>
      </c>
      <c r="Y23" s="162" t="s">
        <v>97</v>
      </c>
    </row>
    <row r="24" spans="1:25" ht="12" customHeight="1">
      <c r="A24" s="158" t="s">
        <v>71</v>
      </c>
      <c r="B24" s="159" t="s">
        <v>97</v>
      </c>
      <c r="C24" s="160" t="s">
        <v>97</v>
      </c>
      <c r="D24" s="160" t="s">
        <v>97</v>
      </c>
      <c r="E24" s="160" t="s">
        <v>97</v>
      </c>
      <c r="F24" s="160" t="s">
        <v>97</v>
      </c>
      <c r="G24" s="160" t="s">
        <v>97</v>
      </c>
      <c r="H24" s="160" t="s">
        <v>97</v>
      </c>
      <c r="I24" s="160" t="s">
        <v>97</v>
      </c>
      <c r="J24" s="160" t="s">
        <v>97</v>
      </c>
      <c r="K24" s="160" t="s">
        <v>97</v>
      </c>
      <c r="L24" s="160" t="s">
        <v>97</v>
      </c>
      <c r="M24" s="160" t="s">
        <v>97</v>
      </c>
      <c r="N24" s="160" t="s">
        <v>97</v>
      </c>
      <c r="O24" s="160" t="s">
        <v>97</v>
      </c>
      <c r="P24" s="160" t="s">
        <v>97</v>
      </c>
      <c r="Q24" s="160" t="s">
        <v>97</v>
      </c>
      <c r="R24" s="160" t="s">
        <v>97</v>
      </c>
      <c r="S24" s="160" t="s">
        <v>97</v>
      </c>
      <c r="T24" s="161" t="s">
        <v>97</v>
      </c>
      <c r="U24" s="161" t="s">
        <v>97</v>
      </c>
      <c r="V24" s="161" t="s">
        <v>97</v>
      </c>
      <c r="W24" s="161" t="s">
        <v>97</v>
      </c>
      <c r="X24" s="161" t="s">
        <v>97</v>
      </c>
      <c r="Y24" s="162" t="s">
        <v>97</v>
      </c>
    </row>
    <row r="25" spans="1:25" ht="12" customHeight="1">
      <c r="A25" s="158" t="s">
        <v>72</v>
      </c>
      <c r="B25" s="159" t="s">
        <v>97</v>
      </c>
      <c r="C25" s="160" t="s">
        <v>97</v>
      </c>
      <c r="D25" s="160" t="s">
        <v>97</v>
      </c>
      <c r="E25" s="160" t="s">
        <v>97</v>
      </c>
      <c r="F25" s="160" t="s">
        <v>97</v>
      </c>
      <c r="G25" s="160" t="s">
        <v>97</v>
      </c>
      <c r="H25" s="160" t="s">
        <v>97</v>
      </c>
      <c r="I25" s="160" t="s">
        <v>97</v>
      </c>
      <c r="J25" s="160" t="s">
        <v>97</v>
      </c>
      <c r="K25" s="160" t="s">
        <v>97</v>
      </c>
      <c r="L25" s="160" t="s">
        <v>97</v>
      </c>
      <c r="M25" s="160" t="s">
        <v>97</v>
      </c>
      <c r="N25" s="160" t="s">
        <v>97</v>
      </c>
      <c r="O25" s="160" t="s">
        <v>97</v>
      </c>
      <c r="P25" s="160" t="s">
        <v>97</v>
      </c>
      <c r="Q25" s="160" t="s">
        <v>97</v>
      </c>
      <c r="R25" s="160" t="s">
        <v>97</v>
      </c>
      <c r="S25" s="160" t="s">
        <v>97</v>
      </c>
      <c r="T25" s="161" t="s">
        <v>97</v>
      </c>
      <c r="U25" s="161" t="s">
        <v>97</v>
      </c>
      <c r="V25" s="161" t="s">
        <v>97</v>
      </c>
      <c r="W25" s="161" t="s">
        <v>97</v>
      </c>
      <c r="X25" s="161" t="s">
        <v>97</v>
      </c>
      <c r="Y25" s="162" t="s">
        <v>97</v>
      </c>
    </row>
    <row r="26" spans="1:25" ht="12" customHeight="1">
      <c r="A26" s="158" t="s">
        <v>73</v>
      </c>
      <c r="B26" s="159" t="s">
        <v>97</v>
      </c>
      <c r="C26" s="160" t="s">
        <v>97</v>
      </c>
      <c r="D26" s="160" t="s">
        <v>97</v>
      </c>
      <c r="E26" s="160" t="s">
        <v>97</v>
      </c>
      <c r="F26" s="160" t="s">
        <v>97</v>
      </c>
      <c r="G26" s="160" t="s">
        <v>97</v>
      </c>
      <c r="H26" s="160" t="s">
        <v>97</v>
      </c>
      <c r="I26" s="160" t="s">
        <v>97</v>
      </c>
      <c r="J26" s="160" t="s">
        <v>97</v>
      </c>
      <c r="K26" s="160" t="s">
        <v>97</v>
      </c>
      <c r="L26" s="160" t="s">
        <v>97</v>
      </c>
      <c r="M26" s="160" t="s">
        <v>97</v>
      </c>
      <c r="N26" s="160" t="s">
        <v>97</v>
      </c>
      <c r="O26" s="160" t="s">
        <v>97</v>
      </c>
      <c r="P26" s="160" t="s">
        <v>97</v>
      </c>
      <c r="Q26" s="160" t="s">
        <v>97</v>
      </c>
      <c r="R26" s="160" t="s">
        <v>97</v>
      </c>
      <c r="S26" s="160" t="s">
        <v>97</v>
      </c>
      <c r="T26" s="161" t="s">
        <v>97</v>
      </c>
      <c r="U26" s="161" t="s">
        <v>97</v>
      </c>
      <c r="V26" s="161" t="s">
        <v>97</v>
      </c>
      <c r="W26" s="161" t="s">
        <v>97</v>
      </c>
      <c r="X26" s="161" t="s">
        <v>97</v>
      </c>
      <c r="Y26" s="162" t="s">
        <v>97</v>
      </c>
    </row>
    <row r="27" spans="1:25" ht="12" customHeight="1">
      <c r="A27" s="163" t="s">
        <v>74</v>
      </c>
      <c r="B27" s="164" t="s">
        <v>97</v>
      </c>
      <c r="C27" s="165" t="s">
        <v>97</v>
      </c>
      <c r="D27" s="165" t="s">
        <v>97</v>
      </c>
      <c r="E27" s="165" t="s">
        <v>97</v>
      </c>
      <c r="F27" s="165" t="s">
        <v>97</v>
      </c>
      <c r="G27" s="165" t="s">
        <v>97</v>
      </c>
      <c r="H27" s="165" t="s">
        <v>97</v>
      </c>
      <c r="I27" s="165" t="s">
        <v>97</v>
      </c>
      <c r="J27" s="165" t="s">
        <v>97</v>
      </c>
      <c r="K27" s="165" t="s">
        <v>97</v>
      </c>
      <c r="L27" s="165" t="s">
        <v>97</v>
      </c>
      <c r="M27" s="165" t="s">
        <v>97</v>
      </c>
      <c r="N27" s="165" t="s">
        <v>97</v>
      </c>
      <c r="O27" s="165" t="s">
        <v>97</v>
      </c>
      <c r="P27" s="165" t="s">
        <v>97</v>
      </c>
      <c r="Q27" s="165" t="s">
        <v>97</v>
      </c>
      <c r="R27" s="165" t="s">
        <v>97</v>
      </c>
      <c r="S27" s="165" t="s">
        <v>97</v>
      </c>
      <c r="T27" s="166" t="s">
        <v>97</v>
      </c>
      <c r="U27" s="166" t="s">
        <v>97</v>
      </c>
      <c r="V27" s="166" t="s">
        <v>97</v>
      </c>
      <c r="W27" s="166" t="s">
        <v>97</v>
      </c>
      <c r="X27" s="166" t="s">
        <v>97</v>
      </c>
      <c r="Y27" s="167" t="s">
        <v>97</v>
      </c>
    </row>
    <row r="28" spans="1:25" ht="12" customHeight="1" thickBot="1"/>
    <row r="29" spans="1:25" ht="12" customHeight="1">
      <c r="A29" s="145" t="s">
        <v>65</v>
      </c>
      <c r="B29" s="145"/>
      <c r="C29" s="145"/>
      <c r="D29" s="39" t="s">
        <v>19</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98</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66</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67</v>
      </c>
      <c r="B33" s="159" t="s">
        <v>97</v>
      </c>
      <c r="C33" s="160" t="s">
        <v>97</v>
      </c>
      <c r="D33" s="160" t="s">
        <v>97</v>
      </c>
      <c r="E33" s="160" t="s">
        <v>97</v>
      </c>
      <c r="F33" s="160" t="s">
        <v>97</v>
      </c>
      <c r="G33" s="160" t="s">
        <v>97</v>
      </c>
      <c r="H33" s="160" t="s">
        <v>97</v>
      </c>
      <c r="I33" s="160" t="s">
        <v>97</v>
      </c>
      <c r="J33" s="160" t="s">
        <v>97</v>
      </c>
      <c r="K33" s="160" t="s">
        <v>97</v>
      </c>
      <c r="L33" s="160" t="s">
        <v>97</v>
      </c>
      <c r="M33" s="160" t="s">
        <v>97</v>
      </c>
      <c r="N33" s="160" t="s">
        <v>97</v>
      </c>
      <c r="O33" s="160" t="s">
        <v>97</v>
      </c>
      <c r="P33" s="160" t="s">
        <v>97</v>
      </c>
      <c r="Q33" s="160" t="s">
        <v>97</v>
      </c>
      <c r="R33" s="160" t="s">
        <v>97</v>
      </c>
      <c r="S33" s="160" t="s">
        <v>97</v>
      </c>
      <c r="T33" s="161" t="s">
        <v>97</v>
      </c>
      <c r="U33" s="161" t="s">
        <v>97</v>
      </c>
      <c r="V33" s="161" t="s">
        <v>97</v>
      </c>
      <c r="W33" s="161" t="s">
        <v>97</v>
      </c>
      <c r="X33" s="161" t="s">
        <v>97</v>
      </c>
      <c r="Y33" s="162" t="s">
        <v>97</v>
      </c>
    </row>
    <row r="34" spans="1:25" ht="12" customHeight="1">
      <c r="A34" s="158" t="s">
        <v>68</v>
      </c>
      <c r="B34" s="159" t="s">
        <v>97</v>
      </c>
      <c r="C34" s="160" t="s">
        <v>97</v>
      </c>
      <c r="D34" s="160" t="s">
        <v>97</v>
      </c>
      <c r="E34" s="160" t="s">
        <v>97</v>
      </c>
      <c r="F34" s="160" t="s">
        <v>97</v>
      </c>
      <c r="G34" s="160" t="s">
        <v>97</v>
      </c>
      <c r="H34" s="160" t="s">
        <v>97</v>
      </c>
      <c r="I34" s="160" t="s">
        <v>97</v>
      </c>
      <c r="J34" s="160" t="s">
        <v>97</v>
      </c>
      <c r="K34" s="160" t="s">
        <v>97</v>
      </c>
      <c r="L34" s="160" t="s">
        <v>97</v>
      </c>
      <c r="M34" s="160" t="s">
        <v>97</v>
      </c>
      <c r="N34" s="160" t="s">
        <v>97</v>
      </c>
      <c r="O34" s="160" t="s">
        <v>97</v>
      </c>
      <c r="P34" s="160" t="s">
        <v>97</v>
      </c>
      <c r="Q34" s="160" t="s">
        <v>97</v>
      </c>
      <c r="R34" s="160" t="s">
        <v>97</v>
      </c>
      <c r="S34" s="160" t="s">
        <v>97</v>
      </c>
      <c r="T34" s="161" t="s">
        <v>97</v>
      </c>
      <c r="U34" s="161" t="s">
        <v>97</v>
      </c>
      <c r="V34" s="161" t="s">
        <v>97</v>
      </c>
      <c r="W34" s="161" t="s">
        <v>97</v>
      </c>
      <c r="X34" s="161" t="s">
        <v>97</v>
      </c>
      <c r="Y34" s="162" t="s">
        <v>97</v>
      </c>
    </row>
    <row r="35" spans="1:25" ht="12" customHeight="1">
      <c r="A35" s="158" t="s">
        <v>69</v>
      </c>
      <c r="B35" s="159" t="s">
        <v>97</v>
      </c>
      <c r="C35" s="160" t="s">
        <v>97</v>
      </c>
      <c r="D35" s="160" t="s">
        <v>97</v>
      </c>
      <c r="E35" s="160" t="s">
        <v>97</v>
      </c>
      <c r="F35" s="160" t="s">
        <v>97</v>
      </c>
      <c r="G35" s="160" t="s">
        <v>97</v>
      </c>
      <c r="H35" s="160" t="s">
        <v>97</v>
      </c>
      <c r="I35" s="160" t="s">
        <v>97</v>
      </c>
      <c r="J35" s="160" t="s">
        <v>97</v>
      </c>
      <c r="K35" s="160" t="s">
        <v>97</v>
      </c>
      <c r="L35" s="160" t="s">
        <v>97</v>
      </c>
      <c r="M35" s="160" t="s">
        <v>97</v>
      </c>
      <c r="N35" s="160" t="s">
        <v>97</v>
      </c>
      <c r="O35" s="160" t="s">
        <v>97</v>
      </c>
      <c r="P35" s="160" t="s">
        <v>97</v>
      </c>
      <c r="Q35" s="160" t="s">
        <v>97</v>
      </c>
      <c r="R35" s="160" t="s">
        <v>97</v>
      </c>
      <c r="S35" s="160" t="s">
        <v>97</v>
      </c>
      <c r="T35" s="161" t="s">
        <v>97</v>
      </c>
      <c r="U35" s="161" t="s">
        <v>97</v>
      </c>
      <c r="V35" s="161" t="s">
        <v>97</v>
      </c>
      <c r="W35" s="161" t="s">
        <v>97</v>
      </c>
      <c r="X35" s="161" t="s">
        <v>97</v>
      </c>
      <c r="Y35" s="162" t="s">
        <v>97</v>
      </c>
    </row>
    <row r="36" spans="1:25" ht="12" customHeight="1">
      <c r="A36" s="158" t="s">
        <v>70</v>
      </c>
      <c r="B36" s="159" t="s">
        <v>97</v>
      </c>
      <c r="C36" s="160" t="s">
        <v>97</v>
      </c>
      <c r="D36" s="160" t="s">
        <v>97</v>
      </c>
      <c r="E36" s="160" t="s">
        <v>97</v>
      </c>
      <c r="F36" s="160" t="s">
        <v>97</v>
      </c>
      <c r="G36" s="160" t="s">
        <v>97</v>
      </c>
      <c r="H36" s="160" t="s">
        <v>97</v>
      </c>
      <c r="I36" s="160" t="s">
        <v>97</v>
      </c>
      <c r="J36" s="160" t="s">
        <v>97</v>
      </c>
      <c r="K36" s="160" t="s">
        <v>97</v>
      </c>
      <c r="L36" s="160" t="s">
        <v>97</v>
      </c>
      <c r="M36" s="160" t="s">
        <v>97</v>
      </c>
      <c r="N36" s="160" t="s">
        <v>97</v>
      </c>
      <c r="O36" s="160" t="s">
        <v>97</v>
      </c>
      <c r="P36" s="160" t="s">
        <v>97</v>
      </c>
      <c r="Q36" s="160" t="s">
        <v>97</v>
      </c>
      <c r="R36" s="160" t="s">
        <v>97</v>
      </c>
      <c r="S36" s="160" t="s">
        <v>97</v>
      </c>
      <c r="T36" s="161" t="s">
        <v>97</v>
      </c>
      <c r="U36" s="161" t="s">
        <v>97</v>
      </c>
      <c r="V36" s="161" t="s">
        <v>97</v>
      </c>
      <c r="W36" s="161" t="s">
        <v>97</v>
      </c>
      <c r="X36" s="161" t="s">
        <v>97</v>
      </c>
      <c r="Y36" s="162" t="s">
        <v>97</v>
      </c>
    </row>
    <row r="37" spans="1:25" ht="12" customHeight="1">
      <c r="A37" s="158" t="s">
        <v>71</v>
      </c>
      <c r="B37" s="159" t="s">
        <v>97</v>
      </c>
      <c r="C37" s="160" t="s">
        <v>97</v>
      </c>
      <c r="D37" s="160" t="s">
        <v>97</v>
      </c>
      <c r="E37" s="160" t="s">
        <v>97</v>
      </c>
      <c r="F37" s="160" t="s">
        <v>97</v>
      </c>
      <c r="G37" s="160" t="s">
        <v>97</v>
      </c>
      <c r="H37" s="160" t="s">
        <v>97</v>
      </c>
      <c r="I37" s="160" t="s">
        <v>97</v>
      </c>
      <c r="J37" s="160" t="s">
        <v>97</v>
      </c>
      <c r="K37" s="160" t="s">
        <v>97</v>
      </c>
      <c r="L37" s="160" t="s">
        <v>97</v>
      </c>
      <c r="M37" s="160" t="s">
        <v>97</v>
      </c>
      <c r="N37" s="160" t="s">
        <v>97</v>
      </c>
      <c r="O37" s="160" t="s">
        <v>97</v>
      </c>
      <c r="P37" s="160" t="s">
        <v>97</v>
      </c>
      <c r="Q37" s="160" t="s">
        <v>97</v>
      </c>
      <c r="R37" s="160" t="s">
        <v>97</v>
      </c>
      <c r="S37" s="160" t="s">
        <v>97</v>
      </c>
      <c r="T37" s="161" t="s">
        <v>97</v>
      </c>
      <c r="U37" s="161" t="s">
        <v>97</v>
      </c>
      <c r="V37" s="161" t="s">
        <v>97</v>
      </c>
      <c r="W37" s="161" t="s">
        <v>97</v>
      </c>
      <c r="X37" s="161" t="s">
        <v>97</v>
      </c>
      <c r="Y37" s="162" t="s">
        <v>97</v>
      </c>
    </row>
    <row r="38" spans="1:25" ht="12" customHeight="1">
      <c r="A38" s="158" t="s">
        <v>72</v>
      </c>
      <c r="B38" s="159" t="s">
        <v>97</v>
      </c>
      <c r="C38" s="160" t="s">
        <v>97</v>
      </c>
      <c r="D38" s="160" t="s">
        <v>97</v>
      </c>
      <c r="E38" s="160" t="s">
        <v>97</v>
      </c>
      <c r="F38" s="160" t="s">
        <v>97</v>
      </c>
      <c r="G38" s="160" t="s">
        <v>97</v>
      </c>
      <c r="H38" s="160" t="s">
        <v>97</v>
      </c>
      <c r="I38" s="160" t="s">
        <v>97</v>
      </c>
      <c r="J38" s="160" t="s">
        <v>97</v>
      </c>
      <c r="K38" s="160" t="s">
        <v>97</v>
      </c>
      <c r="L38" s="160" t="s">
        <v>97</v>
      </c>
      <c r="M38" s="160" t="s">
        <v>97</v>
      </c>
      <c r="N38" s="160" t="s">
        <v>97</v>
      </c>
      <c r="O38" s="160" t="s">
        <v>97</v>
      </c>
      <c r="P38" s="160" t="s">
        <v>97</v>
      </c>
      <c r="Q38" s="160" t="s">
        <v>97</v>
      </c>
      <c r="R38" s="160" t="s">
        <v>97</v>
      </c>
      <c r="S38" s="160" t="s">
        <v>97</v>
      </c>
      <c r="T38" s="161" t="s">
        <v>97</v>
      </c>
      <c r="U38" s="161" t="s">
        <v>97</v>
      </c>
      <c r="V38" s="161" t="s">
        <v>97</v>
      </c>
      <c r="W38" s="161" t="s">
        <v>97</v>
      </c>
      <c r="X38" s="161" t="s">
        <v>97</v>
      </c>
      <c r="Y38" s="162" t="s">
        <v>97</v>
      </c>
    </row>
    <row r="39" spans="1:25" ht="12" customHeight="1">
      <c r="A39" s="158" t="s">
        <v>73</v>
      </c>
      <c r="B39" s="159" t="s">
        <v>97</v>
      </c>
      <c r="C39" s="160" t="s">
        <v>97</v>
      </c>
      <c r="D39" s="160" t="s">
        <v>97</v>
      </c>
      <c r="E39" s="160" t="s">
        <v>97</v>
      </c>
      <c r="F39" s="160" t="s">
        <v>97</v>
      </c>
      <c r="G39" s="160" t="s">
        <v>97</v>
      </c>
      <c r="H39" s="160" t="s">
        <v>97</v>
      </c>
      <c r="I39" s="160" t="s">
        <v>97</v>
      </c>
      <c r="J39" s="160" t="s">
        <v>97</v>
      </c>
      <c r="K39" s="160" t="s">
        <v>97</v>
      </c>
      <c r="L39" s="160" t="s">
        <v>97</v>
      </c>
      <c r="M39" s="160" t="s">
        <v>97</v>
      </c>
      <c r="N39" s="160" t="s">
        <v>97</v>
      </c>
      <c r="O39" s="160" t="s">
        <v>97</v>
      </c>
      <c r="P39" s="160" t="s">
        <v>97</v>
      </c>
      <c r="Q39" s="160" t="s">
        <v>97</v>
      </c>
      <c r="R39" s="160" t="s">
        <v>97</v>
      </c>
      <c r="S39" s="160" t="s">
        <v>97</v>
      </c>
      <c r="T39" s="161" t="s">
        <v>97</v>
      </c>
      <c r="U39" s="161" t="s">
        <v>97</v>
      </c>
      <c r="V39" s="161" t="s">
        <v>97</v>
      </c>
      <c r="W39" s="161" t="s">
        <v>97</v>
      </c>
      <c r="X39" s="161" t="s">
        <v>97</v>
      </c>
      <c r="Y39" s="162" t="s">
        <v>97</v>
      </c>
    </row>
    <row r="40" spans="1:25" ht="12" customHeight="1">
      <c r="A40" s="163" t="s">
        <v>74</v>
      </c>
      <c r="B40" s="164" t="s">
        <v>97</v>
      </c>
      <c r="C40" s="165" t="s">
        <v>97</v>
      </c>
      <c r="D40" s="165" t="s">
        <v>97</v>
      </c>
      <c r="E40" s="165" t="s">
        <v>97</v>
      </c>
      <c r="F40" s="165" t="s">
        <v>97</v>
      </c>
      <c r="G40" s="165" t="s">
        <v>97</v>
      </c>
      <c r="H40" s="165" t="s">
        <v>97</v>
      </c>
      <c r="I40" s="165" t="s">
        <v>97</v>
      </c>
      <c r="J40" s="165" t="s">
        <v>97</v>
      </c>
      <c r="K40" s="165" t="s">
        <v>97</v>
      </c>
      <c r="L40" s="165" t="s">
        <v>97</v>
      </c>
      <c r="M40" s="165" t="s">
        <v>97</v>
      </c>
      <c r="N40" s="165" t="s">
        <v>97</v>
      </c>
      <c r="O40" s="165" t="s">
        <v>97</v>
      </c>
      <c r="P40" s="165" t="s">
        <v>97</v>
      </c>
      <c r="Q40" s="165" t="s">
        <v>97</v>
      </c>
      <c r="R40" s="165" t="s">
        <v>97</v>
      </c>
      <c r="S40" s="165" t="s">
        <v>97</v>
      </c>
      <c r="T40" s="166" t="s">
        <v>97</v>
      </c>
      <c r="U40" s="166" t="s">
        <v>97</v>
      </c>
      <c r="V40" s="166" t="s">
        <v>97</v>
      </c>
      <c r="W40" s="166" t="s">
        <v>97</v>
      </c>
      <c r="X40" s="166" t="s">
        <v>97</v>
      </c>
      <c r="Y40" s="167" t="s">
        <v>97</v>
      </c>
    </row>
    <row r="42" spans="1:25" ht="12" customHeight="1">
      <c r="A42" s="145" t="s">
        <v>75</v>
      </c>
      <c r="B42" s="145"/>
      <c r="C42" s="145"/>
      <c r="D42" s="145"/>
      <c r="E42" s="145"/>
      <c r="G42" s="145"/>
      <c r="H42" s="145"/>
      <c r="I42" s="145"/>
      <c r="J42" s="145"/>
      <c r="K42" s="145"/>
    </row>
    <row r="43" spans="1:25" ht="15" customHeight="1">
      <c r="A43" s="168" t="s">
        <v>76</v>
      </c>
      <c r="B43" s="169" t="s">
        <v>77</v>
      </c>
      <c r="C43" s="170" t="s">
        <v>78</v>
      </c>
      <c r="D43" s="169" t="s">
        <v>77</v>
      </c>
      <c r="E43" s="170" t="s">
        <v>78</v>
      </c>
      <c r="F43" s="169" t="s">
        <v>77</v>
      </c>
      <c r="G43" s="170" t="s">
        <v>78</v>
      </c>
      <c r="H43" s="169" t="s">
        <v>77</v>
      </c>
      <c r="I43" s="170" t="s">
        <v>78</v>
      </c>
      <c r="J43" s="169" t="s">
        <v>77</v>
      </c>
      <c r="K43" s="170" t="s">
        <v>78</v>
      </c>
      <c r="L43" s="169" t="s">
        <v>77</v>
      </c>
      <c r="M43" s="171" t="s">
        <v>77</v>
      </c>
      <c r="N43" s="169" t="s">
        <v>77</v>
      </c>
      <c r="P43" s="73" t="s">
        <v>48</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82</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83</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85</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86</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87</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88</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89</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90</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99</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100</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103</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65</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96</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66</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67</v>
      </c>
      <c r="B7" s="159" t="s">
        <v>97</v>
      </c>
      <c r="C7" s="160" t="s">
        <v>97</v>
      </c>
      <c r="D7" s="160" t="s">
        <v>97</v>
      </c>
      <c r="E7" s="160" t="s">
        <v>97</v>
      </c>
      <c r="F7" s="160" t="s">
        <v>97</v>
      </c>
      <c r="G7" s="160" t="s">
        <v>97</v>
      </c>
      <c r="H7" s="160" t="s">
        <v>97</v>
      </c>
      <c r="I7" s="160" t="s">
        <v>97</v>
      </c>
      <c r="J7" s="160" t="s">
        <v>97</v>
      </c>
      <c r="K7" s="160" t="s">
        <v>97</v>
      </c>
      <c r="L7" s="160" t="s">
        <v>97</v>
      </c>
      <c r="M7" s="160" t="s">
        <v>97</v>
      </c>
      <c r="N7" s="160" t="s">
        <v>97</v>
      </c>
      <c r="O7" s="160" t="s">
        <v>97</v>
      </c>
      <c r="P7" s="160" t="s">
        <v>97</v>
      </c>
      <c r="Q7" s="160" t="s">
        <v>97</v>
      </c>
      <c r="R7" s="160" t="s">
        <v>97</v>
      </c>
      <c r="S7" s="160" t="s">
        <v>97</v>
      </c>
      <c r="T7" s="161" t="s">
        <v>97</v>
      </c>
      <c r="U7" s="161" t="s">
        <v>97</v>
      </c>
      <c r="V7" s="161" t="s">
        <v>97</v>
      </c>
      <c r="W7" s="161" t="s">
        <v>97</v>
      </c>
      <c r="X7" s="161" t="s">
        <v>97</v>
      </c>
      <c r="Y7" s="162" t="s">
        <v>97</v>
      </c>
    </row>
    <row r="8" spans="1:25" ht="12" customHeight="1">
      <c r="A8" s="158" t="s">
        <v>68</v>
      </c>
      <c r="B8" s="159" t="s">
        <v>97</v>
      </c>
      <c r="C8" s="160" t="s">
        <v>97</v>
      </c>
      <c r="D8" s="160" t="s">
        <v>97</v>
      </c>
      <c r="E8" s="160" t="s">
        <v>97</v>
      </c>
      <c r="F8" s="160" t="s">
        <v>97</v>
      </c>
      <c r="G8" s="160" t="s">
        <v>97</v>
      </c>
      <c r="H8" s="160" t="s">
        <v>97</v>
      </c>
      <c r="I8" s="160" t="s">
        <v>97</v>
      </c>
      <c r="J8" s="160" t="s">
        <v>97</v>
      </c>
      <c r="K8" s="160" t="s">
        <v>97</v>
      </c>
      <c r="L8" s="160" t="s">
        <v>97</v>
      </c>
      <c r="M8" s="160" t="s">
        <v>97</v>
      </c>
      <c r="N8" s="160" t="s">
        <v>97</v>
      </c>
      <c r="O8" s="160" t="s">
        <v>97</v>
      </c>
      <c r="P8" s="160" t="s">
        <v>97</v>
      </c>
      <c r="Q8" s="160" t="s">
        <v>97</v>
      </c>
      <c r="R8" s="160" t="s">
        <v>97</v>
      </c>
      <c r="S8" s="160" t="s">
        <v>97</v>
      </c>
      <c r="T8" s="161" t="s">
        <v>97</v>
      </c>
      <c r="U8" s="161" t="s">
        <v>97</v>
      </c>
      <c r="V8" s="161" t="s">
        <v>97</v>
      </c>
      <c r="W8" s="161" t="s">
        <v>97</v>
      </c>
      <c r="X8" s="161" t="s">
        <v>97</v>
      </c>
      <c r="Y8" s="162" t="s">
        <v>97</v>
      </c>
    </row>
    <row r="9" spans="1:25" ht="12" customHeight="1">
      <c r="A9" s="158" t="s">
        <v>69</v>
      </c>
      <c r="B9" s="159" t="s">
        <v>97</v>
      </c>
      <c r="C9" s="160" t="s">
        <v>97</v>
      </c>
      <c r="D9" s="160" t="s">
        <v>97</v>
      </c>
      <c r="E9" s="160" t="s">
        <v>97</v>
      </c>
      <c r="F9" s="160" t="s">
        <v>97</v>
      </c>
      <c r="G9" s="160" t="s">
        <v>97</v>
      </c>
      <c r="H9" s="160" t="s">
        <v>97</v>
      </c>
      <c r="I9" s="160" t="s">
        <v>97</v>
      </c>
      <c r="J9" s="160" t="s">
        <v>97</v>
      </c>
      <c r="K9" s="160" t="s">
        <v>97</v>
      </c>
      <c r="L9" s="160" t="s">
        <v>97</v>
      </c>
      <c r="M9" s="160" t="s">
        <v>97</v>
      </c>
      <c r="N9" s="160" t="s">
        <v>97</v>
      </c>
      <c r="O9" s="160" t="s">
        <v>97</v>
      </c>
      <c r="P9" s="160" t="s">
        <v>97</v>
      </c>
      <c r="Q9" s="160" t="s">
        <v>97</v>
      </c>
      <c r="R9" s="160" t="s">
        <v>97</v>
      </c>
      <c r="S9" s="160" t="s">
        <v>97</v>
      </c>
      <c r="T9" s="161" t="s">
        <v>97</v>
      </c>
      <c r="U9" s="161" t="s">
        <v>97</v>
      </c>
      <c r="V9" s="161" t="s">
        <v>97</v>
      </c>
      <c r="W9" s="161" t="s">
        <v>97</v>
      </c>
      <c r="X9" s="161" t="s">
        <v>97</v>
      </c>
      <c r="Y9" s="162" t="s">
        <v>97</v>
      </c>
    </row>
    <row r="10" spans="1:25" ht="12" customHeight="1">
      <c r="A10" s="158" t="s">
        <v>70</v>
      </c>
      <c r="B10" s="159" t="s">
        <v>97</v>
      </c>
      <c r="C10" s="160" t="s">
        <v>97</v>
      </c>
      <c r="D10" s="160" t="s">
        <v>97</v>
      </c>
      <c r="E10" s="160" t="s">
        <v>97</v>
      </c>
      <c r="F10" s="160" t="s">
        <v>97</v>
      </c>
      <c r="G10" s="160" t="s">
        <v>97</v>
      </c>
      <c r="H10" s="160" t="s">
        <v>97</v>
      </c>
      <c r="I10" s="160" t="s">
        <v>97</v>
      </c>
      <c r="J10" s="160" t="s">
        <v>97</v>
      </c>
      <c r="K10" s="160" t="s">
        <v>97</v>
      </c>
      <c r="L10" s="160" t="s">
        <v>97</v>
      </c>
      <c r="M10" s="160" t="s">
        <v>97</v>
      </c>
      <c r="N10" s="160" t="s">
        <v>97</v>
      </c>
      <c r="O10" s="160" t="s">
        <v>97</v>
      </c>
      <c r="P10" s="160" t="s">
        <v>97</v>
      </c>
      <c r="Q10" s="160" t="s">
        <v>97</v>
      </c>
      <c r="R10" s="160" t="s">
        <v>97</v>
      </c>
      <c r="S10" s="160" t="s">
        <v>97</v>
      </c>
      <c r="T10" s="161" t="s">
        <v>97</v>
      </c>
      <c r="U10" s="161" t="s">
        <v>97</v>
      </c>
      <c r="V10" s="161" t="s">
        <v>97</v>
      </c>
      <c r="W10" s="161" t="s">
        <v>97</v>
      </c>
      <c r="X10" s="161" t="s">
        <v>97</v>
      </c>
      <c r="Y10" s="162" t="s">
        <v>97</v>
      </c>
    </row>
    <row r="11" spans="1:25" ht="12" customHeight="1">
      <c r="A11" s="158" t="s">
        <v>71</v>
      </c>
      <c r="B11" s="159" t="s">
        <v>97</v>
      </c>
      <c r="C11" s="160" t="s">
        <v>97</v>
      </c>
      <c r="D11" s="160" t="s">
        <v>97</v>
      </c>
      <c r="E11" s="160" t="s">
        <v>97</v>
      </c>
      <c r="F11" s="160" t="s">
        <v>97</v>
      </c>
      <c r="G11" s="160" t="s">
        <v>97</v>
      </c>
      <c r="H11" s="160" t="s">
        <v>97</v>
      </c>
      <c r="I11" s="160" t="s">
        <v>97</v>
      </c>
      <c r="J11" s="160" t="s">
        <v>97</v>
      </c>
      <c r="K11" s="160" t="s">
        <v>97</v>
      </c>
      <c r="L11" s="160" t="s">
        <v>97</v>
      </c>
      <c r="M11" s="160" t="s">
        <v>97</v>
      </c>
      <c r="N11" s="160" t="s">
        <v>97</v>
      </c>
      <c r="O11" s="160" t="s">
        <v>97</v>
      </c>
      <c r="P11" s="160" t="s">
        <v>97</v>
      </c>
      <c r="Q11" s="160" t="s">
        <v>97</v>
      </c>
      <c r="R11" s="160" t="s">
        <v>97</v>
      </c>
      <c r="S11" s="160" t="s">
        <v>97</v>
      </c>
      <c r="T11" s="161" t="s">
        <v>97</v>
      </c>
      <c r="U11" s="161" t="s">
        <v>97</v>
      </c>
      <c r="V11" s="161" t="s">
        <v>97</v>
      </c>
      <c r="W11" s="161" t="s">
        <v>97</v>
      </c>
      <c r="X11" s="161" t="s">
        <v>97</v>
      </c>
      <c r="Y11" s="162" t="s">
        <v>97</v>
      </c>
    </row>
    <row r="12" spans="1:25" ht="12" customHeight="1">
      <c r="A12" s="158" t="s">
        <v>72</v>
      </c>
      <c r="B12" s="159" t="s">
        <v>97</v>
      </c>
      <c r="C12" s="160" t="s">
        <v>97</v>
      </c>
      <c r="D12" s="160" t="s">
        <v>97</v>
      </c>
      <c r="E12" s="160" t="s">
        <v>97</v>
      </c>
      <c r="F12" s="160" t="s">
        <v>97</v>
      </c>
      <c r="G12" s="160" t="s">
        <v>97</v>
      </c>
      <c r="H12" s="160" t="s">
        <v>97</v>
      </c>
      <c r="I12" s="160" t="s">
        <v>97</v>
      </c>
      <c r="J12" s="160" t="s">
        <v>97</v>
      </c>
      <c r="K12" s="160" t="s">
        <v>97</v>
      </c>
      <c r="L12" s="160" t="s">
        <v>97</v>
      </c>
      <c r="M12" s="160" t="s">
        <v>97</v>
      </c>
      <c r="N12" s="160" t="s">
        <v>97</v>
      </c>
      <c r="O12" s="160" t="s">
        <v>97</v>
      </c>
      <c r="P12" s="160" t="s">
        <v>97</v>
      </c>
      <c r="Q12" s="160" t="s">
        <v>97</v>
      </c>
      <c r="R12" s="160" t="s">
        <v>97</v>
      </c>
      <c r="S12" s="160" t="s">
        <v>97</v>
      </c>
      <c r="T12" s="161" t="s">
        <v>97</v>
      </c>
      <c r="U12" s="161" t="s">
        <v>97</v>
      </c>
      <c r="V12" s="161" t="s">
        <v>97</v>
      </c>
      <c r="W12" s="161" t="s">
        <v>97</v>
      </c>
      <c r="X12" s="161" t="s">
        <v>97</v>
      </c>
      <c r="Y12" s="162" t="s">
        <v>97</v>
      </c>
    </row>
    <row r="13" spans="1:25" ht="12" customHeight="1">
      <c r="A13" s="158" t="s">
        <v>73</v>
      </c>
      <c r="B13" s="159" t="s">
        <v>97</v>
      </c>
      <c r="C13" s="160" t="s">
        <v>97</v>
      </c>
      <c r="D13" s="160" t="s">
        <v>97</v>
      </c>
      <c r="E13" s="160" t="s">
        <v>97</v>
      </c>
      <c r="F13" s="160" t="s">
        <v>97</v>
      </c>
      <c r="G13" s="160" t="s">
        <v>97</v>
      </c>
      <c r="H13" s="160" t="s">
        <v>97</v>
      </c>
      <c r="I13" s="160" t="s">
        <v>97</v>
      </c>
      <c r="J13" s="160" t="s">
        <v>97</v>
      </c>
      <c r="K13" s="160" t="s">
        <v>97</v>
      </c>
      <c r="L13" s="160" t="s">
        <v>97</v>
      </c>
      <c r="M13" s="160" t="s">
        <v>97</v>
      </c>
      <c r="N13" s="160" t="s">
        <v>97</v>
      </c>
      <c r="O13" s="160" t="s">
        <v>97</v>
      </c>
      <c r="P13" s="160" t="s">
        <v>97</v>
      </c>
      <c r="Q13" s="160" t="s">
        <v>97</v>
      </c>
      <c r="R13" s="160" t="s">
        <v>97</v>
      </c>
      <c r="S13" s="160" t="s">
        <v>97</v>
      </c>
      <c r="T13" s="161" t="s">
        <v>97</v>
      </c>
      <c r="U13" s="161" t="s">
        <v>97</v>
      </c>
      <c r="V13" s="161" t="s">
        <v>97</v>
      </c>
      <c r="W13" s="161" t="s">
        <v>97</v>
      </c>
      <c r="X13" s="161" t="s">
        <v>97</v>
      </c>
      <c r="Y13" s="162" t="s">
        <v>97</v>
      </c>
    </row>
    <row r="14" spans="1:25" ht="12" customHeight="1">
      <c r="A14" s="163" t="s">
        <v>74</v>
      </c>
      <c r="B14" s="164" t="s">
        <v>97</v>
      </c>
      <c r="C14" s="165" t="s">
        <v>97</v>
      </c>
      <c r="D14" s="165" t="s">
        <v>97</v>
      </c>
      <c r="E14" s="165" t="s">
        <v>97</v>
      </c>
      <c r="F14" s="165" t="s">
        <v>97</v>
      </c>
      <c r="G14" s="165" t="s">
        <v>97</v>
      </c>
      <c r="H14" s="165" t="s">
        <v>97</v>
      </c>
      <c r="I14" s="165" t="s">
        <v>97</v>
      </c>
      <c r="J14" s="165" t="s">
        <v>97</v>
      </c>
      <c r="K14" s="165" t="s">
        <v>97</v>
      </c>
      <c r="L14" s="165" t="s">
        <v>97</v>
      </c>
      <c r="M14" s="165" t="s">
        <v>97</v>
      </c>
      <c r="N14" s="165" t="s">
        <v>97</v>
      </c>
      <c r="O14" s="165" t="s">
        <v>97</v>
      </c>
      <c r="P14" s="165" t="s">
        <v>97</v>
      </c>
      <c r="Q14" s="165" t="s">
        <v>97</v>
      </c>
      <c r="R14" s="165" t="s">
        <v>97</v>
      </c>
      <c r="S14" s="165" t="s">
        <v>97</v>
      </c>
      <c r="T14" s="166" t="s">
        <v>97</v>
      </c>
      <c r="U14" s="166" t="s">
        <v>97</v>
      </c>
      <c r="V14" s="166" t="s">
        <v>97</v>
      </c>
      <c r="W14" s="166" t="s">
        <v>97</v>
      </c>
      <c r="X14" s="166" t="s">
        <v>97</v>
      </c>
      <c r="Y14" s="167" t="s">
        <v>97</v>
      </c>
    </row>
    <row r="15" spans="1:25" ht="12" customHeight="1" thickBot="1"/>
    <row r="16" spans="1:25" ht="12" customHeight="1">
      <c r="A16" s="145" t="s">
        <v>65</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96</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66</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67</v>
      </c>
      <c r="B20" s="159" t="s">
        <v>97</v>
      </c>
      <c r="C20" s="160" t="s">
        <v>97</v>
      </c>
      <c r="D20" s="160" t="s">
        <v>97</v>
      </c>
      <c r="E20" s="160" t="s">
        <v>97</v>
      </c>
      <c r="F20" s="160" t="s">
        <v>97</v>
      </c>
      <c r="G20" s="160" t="s">
        <v>97</v>
      </c>
      <c r="H20" s="160" t="s">
        <v>97</v>
      </c>
      <c r="I20" s="160" t="s">
        <v>97</v>
      </c>
      <c r="J20" s="160" t="s">
        <v>97</v>
      </c>
      <c r="K20" s="160" t="s">
        <v>97</v>
      </c>
      <c r="L20" s="160" t="s">
        <v>97</v>
      </c>
      <c r="M20" s="160" t="s">
        <v>97</v>
      </c>
      <c r="N20" s="160" t="s">
        <v>97</v>
      </c>
      <c r="O20" s="160" t="s">
        <v>97</v>
      </c>
      <c r="P20" s="160" t="s">
        <v>97</v>
      </c>
      <c r="Q20" s="160" t="s">
        <v>97</v>
      </c>
      <c r="R20" s="160" t="s">
        <v>97</v>
      </c>
      <c r="S20" s="160" t="s">
        <v>97</v>
      </c>
      <c r="T20" s="161" t="s">
        <v>97</v>
      </c>
      <c r="U20" s="161" t="s">
        <v>97</v>
      </c>
      <c r="V20" s="161" t="s">
        <v>97</v>
      </c>
      <c r="W20" s="161" t="s">
        <v>97</v>
      </c>
      <c r="X20" s="161" t="s">
        <v>97</v>
      </c>
      <c r="Y20" s="162" t="s">
        <v>97</v>
      </c>
    </row>
    <row r="21" spans="1:25" ht="12" customHeight="1">
      <c r="A21" s="158" t="s">
        <v>68</v>
      </c>
      <c r="B21" s="159" t="s">
        <v>97</v>
      </c>
      <c r="C21" s="160" t="s">
        <v>97</v>
      </c>
      <c r="D21" s="160" t="s">
        <v>97</v>
      </c>
      <c r="E21" s="160" t="s">
        <v>97</v>
      </c>
      <c r="F21" s="160" t="s">
        <v>97</v>
      </c>
      <c r="G21" s="160" t="s">
        <v>97</v>
      </c>
      <c r="H21" s="160" t="s">
        <v>97</v>
      </c>
      <c r="I21" s="160" t="s">
        <v>97</v>
      </c>
      <c r="J21" s="160" t="s">
        <v>97</v>
      </c>
      <c r="K21" s="160" t="s">
        <v>97</v>
      </c>
      <c r="L21" s="160" t="s">
        <v>97</v>
      </c>
      <c r="M21" s="160" t="s">
        <v>97</v>
      </c>
      <c r="N21" s="160" t="s">
        <v>97</v>
      </c>
      <c r="O21" s="160" t="s">
        <v>97</v>
      </c>
      <c r="P21" s="160" t="s">
        <v>97</v>
      </c>
      <c r="Q21" s="160" t="s">
        <v>97</v>
      </c>
      <c r="R21" s="160" t="s">
        <v>97</v>
      </c>
      <c r="S21" s="160" t="s">
        <v>97</v>
      </c>
      <c r="T21" s="161" t="s">
        <v>97</v>
      </c>
      <c r="U21" s="161" t="s">
        <v>97</v>
      </c>
      <c r="V21" s="161" t="s">
        <v>97</v>
      </c>
      <c r="W21" s="161" t="s">
        <v>97</v>
      </c>
      <c r="X21" s="161" t="s">
        <v>97</v>
      </c>
      <c r="Y21" s="162" t="s">
        <v>97</v>
      </c>
    </row>
    <row r="22" spans="1:25" ht="12" customHeight="1">
      <c r="A22" s="158" t="s">
        <v>69</v>
      </c>
      <c r="B22" s="159" t="s">
        <v>97</v>
      </c>
      <c r="C22" s="160" t="s">
        <v>97</v>
      </c>
      <c r="D22" s="160" t="s">
        <v>97</v>
      </c>
      <c r="E22" s="160" t="s">
        <v>97</v>
      </c>
      <c r="F22" s="160" t="s">
        <v>97</v>
      </c>
      <c r="G22" s="160" t="s">
        <v>97</v>
      </c>
      <c r="H22" s="160" t="s">
        <v>97</v>
      </c>
      <c r="I22" s="160" t="s">
        <v>97</v>
      </c>
      <c r="J22" s="160" t="s">
        <v>97</v>
      </c>
      <c r="K22" s="160" t="s">
        <v>97</v>
      </c>
      <c r="L22" s="160" t="s">
        <v>97</v>
      </c>
      <c r="M22" s="160" t="s">
        <v>97</v>
      </c>
      <c r="N22" s="160" t="s">
        <v>97</v>
      </c>
      <c r="O22" s="160" t="s">
        <v>97</v>
      </c>
      <c r="P22" s="160" t="s">
        <v>97</v>
      </c>
      <c r="Q22" s="160" t="s">
        <v>97</v>
      </c>
      <c r="R22" s="160" t="s">
        <v>97</v>
      </c>
      <c r="S22" s="160" t="s">
        <v>97</v>
      </c>
      <c r="T22" s="161" t="s">
        <v>97</v>
      </c>
      <c r="U22" s="161" t="s">
        <v>97</v>
      </c>
      <c r="V22" s="161" t="s">
        <v>97</v>
      </c>
      <c r="W22" s="161" t="s">
        <v>97</v>
      </c>
      <c r="X22" s="161" t="s">
        <v>97</v>
      </c>
      <c r="Y22" s="162" t="s">
        <v>97</v>
      </c>
    </row>
    <row r="23" spans="1:25" ht="12" customHeight="1">
      <c r="A23" s="158" t="s">
        <v>70</v>
      </c>
      <c r="B23" s="159" t="s">
        <v>97</v>
      </c>
      <c r="C23" s="160" t="s">
        <v>97</v>
      </c>
      <c r="D23" s="160" t="s">
        <v>97</v>
      </c>
      <c r="E23" s="160" t="s">
        <v>97</v>
      </c>
      <c r="F23" s="160" t="s">
        <v>97</v>
      </c>
      <c r="G23" s="160" t="s">
        <v>97</v>
      </c>
      <c r="H23" s="160" t="s">
        <v>97</v>
      </c>
      <c r="I23" s="160" t="s">
        <v>97</v>
      </c>
      <c r="J23" s="160" t="s">
        <v>97</v>
      </c>
      <c r="K23" s="160" t="s">
        <v>97</v>
      </c>
      <c r="L23" s="160" t="s">
        <v>97</v>
      </c>
      <c r="M23" s="160" t="s">
        <v>97</v>
      </c>
      <c r="N23" s="160" t="s">
        <v>97</v>
      </c>
      <c r="O23" s="160" t="s">
        <v>97</v>
      </c>
      <c r="P23" s="160" t="s">
        <v>97</v>
      </c>
      <c r="Q23" s="160" t="s">
        <v>97</v>
      </c>
      <c r="R23" s="160" t="s">
        <v>97</v>
      </c>
      <c r="S23" s="160" t="s">
        <v>97</v>
      </c>
      <c r="T23" s="161" t="s">
        <v>97</v>
      </c>
      <c r="U23" s="161" t="s">
        <v>97</v>
      </c>
      <c r="V23" s="161" t="s">
        <v>97</v>
      </c>
      <c r="W23" s="161" t="s">
        <v>97</v>
      </c>
      <c r="X23" s="161" t="s">
        <v>97</v>
      </c>
      <c r="Y23" s="162" t="s">
        <v>97</v>
      </c>
    </row>
    <row r="24" spans="1:25" ht="12" customHeight="1">
      <c r="A24" s="158" t="s">
        <v>71</v>
      </c>
      <c r="B24" s="159" t="s">
        <v>97</v>
      </c>
      <c r="C24" s="160" t="s">
        <v>97</v>
      </c>
      <c r="D24" s="160" t="s">
        <v>97</v>
      </c>
      <c r="E24" s="160" t="s">
        <v>97</v>
      </c>
      <c r="F24" s="160" t="s">
        <v>97</v>
      </c>
      <c r="G24" s="160" t="s">
        <v>97</v>
      </c>
      <c r="H24" s="160" t="s">
        <v>97</v>
      </c>
      <c r="I24" s="160" t="s">
        <v>97</v>
      </c>
      <c r="J24" s="160" t="s">
        <v>97</v>
      </c>
      <c r="K24" s="160" t="s">
        <v>97</v>
      </c>
      <c r="L24" s="160" t="s">
        <v>97</v>
      </c>
      <c r="M24" s="160" t="s">
        <v>97</v>
      </c>
      <c r="N24" s="160" t="s">
        <v>97</v>
      </c>
      <c r="O24" s="160" t="s">
        <v>97</v>
      </c>
      <c r="P24" s="160" t="s">
        <v>97</v>
      </c>
      <c r="Q24" s="160" t="s">
        <v>97</v>
      </c>
      <c r="R24" s="160" t="s">
        <v>97</v>
      </c>
      <c r="S24" s="160" t="s">
        <v>97</v>
      </c>
      <c r="T24" s="161" t="s">
        <v>97</v>
      </c>
      <c r="U24" s="161" t="s">
        <v>97</v>
      </c>
      <c r="V24" s="161" t="s">
        <v>97</v>
      </c>
      <c r="W24" s="161" t="s">
        <v>97</v>
      </c>
      <c r="X24" s="161" t="s">
        <v>97</v>
      </c>
      <c r="Y24" s="162" t="s">
        <v>97</v>
      </c>
    </row>
    <row r="25" spans="1:25" ht="12" customHeight="1">
      <c r="A25" s="158" t="s">
        <v>72</v>
      </c>
      <c r="B25" s="159" t="s">
        <v>97</v>
      </c>
      <c r="C25" s="160" t="s">
        <v>97</v>
      </c>
      <c r="D25" s="160" t="s">
        <v>97</v>
      </c>
      <c r="E25" s="160" t="s">
        <v>97</v>
      </c>
      <c r="F25" s="160" t="s">
        <v>97</v>
      </c>
      <c r="G25" s="160" t="s">
        <v>97</v>
      </c>
      <c r="H25" s="160" t="s">
        <v>97</v>
      </c>
      <c r="I25" s="160" t="s">
        <v>97</v>
      </c>
      <c r="J25" s="160" t="s">
        <v>97</v>
      </c>
      <c r="K25" s="160" t="s">
        <v>97</v>
      </c>
      <c r="L25" s="160" t="s">
        <v>97</v>
      </c>
      <c r="M25" s="160" t="s">
        <v>97</v>
      </c>
      <c r="N25" s="160" t="s">
        <v>97</v>
      </c>
      <c r="O25" s="160" t="s">
        <v>97</v>
      </c>
      <c r="P25" s="160" t="s">
        <v>97</v>
      </c>
      <c r="Q25" s="160" t="s">
        <v>97</v>
      </c>
      <c r="R25" s="160" t="s">
        <v>97</v>
      </c>
      <c r="S25" s="160" t="s">
        <v>97</v>
      </c>
      <c r="T25" s="161" t="s">
        <v>97</v>
      </c>
      <c r="U25" s="161" t="s">
        <v>97</v>
      </c>
      <c r="V25" s="161" t="s">
        <v>97</v>
      </c>
      <c r="W25" s="161" t="s">
        <v>97</v>
      </c>
      <c r="X25" s="161" t="s">
        <v>97</v>
      </c>
      <c r="Y25" s="162" t="s">
        <v>97</v>
      </c>
    </row>
    <row r="26" spans="1:25" ht="12" customHeight="1">
      <c r="A26" s="158" t="s">
        <v>73</v>
      </c>
      <c r="B26" s="159" t="s">
        <v>97</v>
      </c>
      <c r="C26" s="160" t="s">
        <v>97</v>
      </c>
      <c r="D26" s="160" t="s">
        <v>97</v>
      </c>
      <c r="E26" s="160" t="s">
        <v>97</v>
      </c>
      <c r="F26" s="160" t="s">
        <v>97</v>
      </c>
      <c r="G26" s="160" t="s">
        <v>97</v>
      </c>
      <c r="H26" s="160" t="s">
        <v>97</v>
      </c>
      <c r="I26" s="160" t="s">
        <v>97</v>
      </c>
      <c r="J26" s="160" t="s">
        <v>97</v>
      </c>
      <c r="K26" s="160" t="s">
        <v>97</v>
      </c>
      <c r="L26" s="160" t="s">
        <v>97</v>
      </c>
      <c r="M26" s="160" t="s">
        <v>97</v>
      </c>
      <c r="N26" s="160" t="s">
        <v>97</v>
      </c>
      <c r="O26" s="160" t="s">
        <v>97</v>
      </c>
      <c r="P26" s="160" t="s">
        <v>97</v>
      </c>
      <c r="Q26" s="160" t="s">
        <v>97</v>
      </c>
      <c r="R26" s="160" t="s">
        <v>97</v>
      </c>
      <c r="S26" s="160" t="s">
        <v>97</v>
      </c>
      <c r="T26" s="161" t="s">
        <v>97</v>
      </c>
      <c r="U26" s="161" t="s">
        <v>97</v>
      </c>
      <c r="V26" s="161" t="s">
        <v>97</v>
      </c>
      <c r="W26" s="161" t="s">
        <v>97</v>
      </c>
      <c r="X26" s="161" t="s">
        <v>97</v>
      </c>
      <c r="Y26" s="162" t="s">
        <v>97</v>
      </c>
    </row>
    <row r="27" spans="1:25" ht="12" customHeight="1">
      <c r="A27" s="163" t="s">
        <v>74</v>
      </c>
      <c r="B27" s="164" t="s">
        <v>97</v>
      </c>
      <c r="C27" s="165" t="s">
        <v>97</v>
      </c>
      <c r="D27" s="165" t="s">
        <v>97</v>
      </c>
      <c r="E27" s="165" t="s">
        <v>97</v>
      </c>
      <c r="F27" s="165" t="s">
        <v>97</v>
      </c>
      <c r="G27" s="165" t="s">
        <v>97</v>
      </c>
      <c r="H27" s="165" t="s">
        <v>97</v>
      </c>
      <c r="I27" s="165" t="s">
        <v>97</v>
      </c>
      <c r="J27" s="165" t="s">
        <v>97</v>
      </c>
      <c r="K27" s="165" t="s">
        <v>97</v>
      </c>
      <c r="L27" s="165" t="s">
        <v>97</v>
      </c>
      <c r="M27" s="165" t="s">
        <v>97</v>
      </c>
      <c r="N27" s="165" t="s">
        <v>97</v>
      </c>
      <c r="O27" s="165" t="s">
        <v>97</v>
      </c>
      <c r="P27" s="165" t="s">
        <v>97</v>
      </c>
      <c r="Q27" s="165" t="s">
        <v>97</v>
      </c>
      <c r="R27" s="165" t="s">
        <v>97</v>
      </c>
      <c r="S27" s="165" t="s">
        <v>97</v>
      </c>
      <c r="T27" s="166" t="s">
        <v>97</v>
      </c>
      <c r="U27" s="166" t="s">
        <v>97</v>
      </c>
      <c r="V27" s="166" t="s">
        <v>97</v>
      </c>
      <c r="W27" s="166" t="s">
        <v>97</v>
      </c>
      <c r="X27" s="166" t="s">
        <v>97</v>
      </c>
      <c r="Y27" s="167" t="s">
        <v>97</v>
      </c>
    </row>
    <row r="28" spans="1:25" ht="12" customHeight="1" thickBot="1"/>
    <row r="29" spans="1:25" ht="12" customHeight="1">
      <c r="A29" s="145" t="s">
        <v>65</v>
      </c>
      <c r="B29" s="145"/>
      <c r="C29" s="145"/>
      <c r="D29" s="39" t="s">
        <v>19</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102</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66</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67</v>
      </c>
      <c r="B33" s="159" t="s">
        <v>97</v>
      </c>
      <c r="C33" s="160" t="s">
        <v>97</v>
      </c>
      <c r="D33" s="160" t="s">
        <v>97</v>
      </c>
      <c r="E33" s="160" t="s">
        <v>97</v>
      </c>
      <c r="F33" s="160" t="s">
        <v>97</v>
      </c>
      <c r="G33" s="160" t="s">
        <v>97</v>
      </c>
      <c r="H33" s="160" t="s">
        <v>97</v>
      </c>
      <c r="I33" s="160" t="s">
        <v>97</v>
      </c>
      <c r="J33" s="160" t="s">
        <v>97</v>
      </c>
      <c r="K33" s="160" t="s">
        <v>97</v>
      </c>
      <c r="L33" s="160" t="s">
        <v>97</v>
      </c>
      <c r="M33" s="160" t="s">
        <v>97</v>
      </c>
      <c r="N33" s="160" t="s">
        <v>97</v>
      </c>
      <c r="O33" s="160" t="s">
        <v>97</v>
      </c>
      <c r="P33" s="160" t="s">
        <v>97</v>
      </c>
      <c r="Q33" s="160" t="s">
        <v>97</v>
      </c>
      <c r="R33" s="160" t="s">
        <v>97</v>
      </c>
      <c r="S33" s="160" t="s">
        <v>97</v>
      </c>
      <c r="T33" s="161" t="s">
        <v>97</v>
      </c>
      <c r="U33" s="161" t="s">
        <v>97</v>
      </c>
      <c r="V33" s="161" t="s">
        <v>97</v>
      </c>
      <c r="W33" s="161" t="s">
        <v>97</v>
      </c>
      <c r="X33" s="161" t="s">
        <v>97</v>
      </c>
      <c r="Y33" s="162" t="s">
        <v>97</v>
      </c>
    </row>
    <row r="34" spans="1:25" ht="12" customHeight="1">
      <c r="A34" s="158" t="s">
        <v>68</v>
      </c>
      <c r="B34" s="159" t="s">
        <v>97</v>
      </c>
      <c r="C34" s="160" t="s">
        <v>97</v>
      </c>
      <c r="D34" s="160" t="s">
        <v>97</v>
      </c>
      <c r="E34" s="160" t="s">
        <v>97</v>
      </c>
      <c r="F34" s="160" t="s">
        <v>97</v>
      </c>
      <c r="G34" s="160" t="s">
        <v>97</v>
      </c>
      <c r="H34" s="160" t="s">
        <v>97</v>
      </c>
      <c r="I34" s="160" t="s">
        <v>97</v>
      </c>
      <c r="J34" s="160" t="s">
        <v>97</v>
      </c>
      <c r="K34" s="160" t="s">
        <v>97</v>
      </c>
      <c r="L34" s="160" t="s">
        <v>97</v>
      </c>
      <c r="M34" s="160" t="s">
        <v>97</v>
      </c>
      <c r="N34" s="160" t="s">
        <v>97</v>
      </c>
      <c r="O34" s="160" t="s">
        <v>97</v>
      </c>
      <c r="P34" s="160" t="s">
        <v>97</v>
      </c>
      <c r="Q34" s="160" t="s">
        <v>97</v>
      </c>
      <c r="R34" s="160" t="s">
        <v>97</v>
      </c>
      <c r="S34" s="160" t="s">
        <v>97</v>
      </c>
      <c r="T34" s="161" t="s">
        <v>97</v>
      </c>
      <c r="U34" s="161" t="s">
        <v>97</v>
      </c>
      <c r="V34" s="161" t="s">
        <v>97</v>
      </c>
      <c r="W34" s="161" t="s">
        <v>97</v>
      </c>
      <c r="X34" s="161" t="s">
        <v>97</v>
      </c>
      <c r="Y34" s="162" t="s">
        <v>97</v>
      </c>
    </row>
    <row r="35" spans="1:25" ht="12" customHeight="1">
      <c r="A35" s="158" t="s">
        <v>69</v>
      </c>
      <c r="B35" s="159" t="s">
        <v>97</v>
      </c>
      <c r="C35" s="160" t="s">
        <v>97</v>
      </c>
      <c r="D35" s="160" t="s">
        <v>97</v>
      </c>
      <c r="E35" s="160" t="s">
        <v>97</v>
      </c>
      <c r="F35" s="160" t="s">
        <v>97</v>
      </c>
      <c r="G35" s="160" t="s">
        <v>97</v>
      </c>
      <c r="H35" s="160" t="s">
        <v>97</v>
      </c>
      <c r="I35" s="160" t="s">
        <v>97</v>
      </c>
      <c r="J35" s="160" t="s">
        <v>97</v>
      </c>
      <c r="K35" s="160" t="s">
        <v>97</v>
      </c>
      <c r="L35" s="160" t="s">
        <v>97</v>
      </c>
      <c r="M35" s="160" t="s">
        <v>97</v>
      </c>
      <c r="N35" s="160" t="s">
        <v>97</v>
      </c>
      <c r="O35" s="160" t="s">
        <v>97</v>
      </c>
      <c r="P35" s="160" t="s">
        <v>97</v>
      </c>
      <c r="Q35" s="160" t="s">
        <v>97</v>
      </c>
      <c r="R35" s="160" t="s">
        <v>97</v>
      </c>
      <c r="S35" s="160" t="s">
        <v>97</v>
      </c>
      <c r="T35" s="161" t="s">
        <v>97</v>
      </c>
      <c r="U35" s="161" t="s">
        <v>97</v>
      </c>
      <c r="V35" s="161" t="s">
        <v>97</v>
      </c>
      <c r="W35" s="161" t="s">
        <v>97</v>
      </c>
      <c r="X35" s="161" t="s">
        <v>97</v>
      </c>
      <c r="Y35" s="162" t="s">
        <v>97</v>
      </c>
    </row>
    <row r="36" spans="1:25" ht="12" customHeight="1">
      <c r="A36" s="158" t="s">
        <v>70</v>
      </c>
      <c r="B36" s="159" t="s">
        <v>97</v>
      </c>
      <c r="C36" s="160" t="s">
        <v>97</v>
      </c>
      <c r="D36" s="160" t="s">
        <v>97</v>
      </c>
      <c r="E36" s="160" t="s">
        <v>97</v>
      </c>
      <c r="F36" s="160" t="s">
        <v>97</v>
      </c>
      <c r="G36" s="160" t="s">
        <v>97</v>
      </c>
      <c r="H36" s="160" t="s">
        <v>97</v>
      </c>
      <c r="I36" s="160" t="s">
        <v>97</v>
      </c>
      <c r="J36" s="160" t="s">
        <v>97</v>
      </c>
      <c r="K36" s="160" t="s">
        <v>97</v>
      </c>
      <c r="L36" s="160" t="s">
        <v>97</v>
      </c>
      <c r="M36" s="160" t="s">
        <v>97</v>
      </c>
      <c r="N36" s="160" t="s">
        <v>97</v>
      </c>
      <c r="O36" s="160" t="s">
        <v>97</v>
      </c>
      <c r="P36" s="160" t="s">
        <v>97</v>
      </c>
      <c r="Q36" s="160" t="s">
        <v>97</v>
      </c>
      <c r="R36" s="160" t="s">
        <v>97</v>
      </c>
      <c r="S36" s="160" t="s">
        <v>97</v>
      </c>
      <c r="T36" s="161" t="s">
        <v>97</v>
      </c>
      <c r="U36" s="161" t="s">
        <v>97</v>
      </c>
      <c r="V36" s="161" t="s">
        <v>97</v>
      </c>
      <c r="W36" s="161" t="s">
        <v>97</v>
      </c>
      <c r="X36" s="161" t="s">
        <v>97</v>
      </c>
      <c r="Y36" s="162" t="s">
        <v>97</v>
      </c>
    </row>
    <row r="37" spans="1:25" ht="12" customHeight="1">
      <c r="A37" s="158" t="s">
        <v>71</v>
      </c>
      <c r="B37" s="159" t="s">
        <v>97</v>
      </c>
      <c r="C37" s="160" t="s">
        <v>97</v>
      </c>
      <c r="D37" s="160" t="s">
        <v>97</v>
      </c>
      <c r="E37" s="160" t="s">
        <v>97</v>
      </c>
      <c r="F37" s="160" t="s">
        <v>97</v>
      </c>
      <c r="G37" s="160" t="s">
        <v>97</v>
      </c>
      <c r="H37" s="160" t="s">
        <v>97</v>
      </c>
      <c r="I37" s="160" t="s">
        <v>97</v>
      </c>
      <c r="J37" s="160" t="s">
        <v>97</v>
      </c>
      <c r="K37" s="160" t="s">
        <v>97</v>
      </c>
      <c r="L37" s="160" t="s">
        <v>97</v>
      </c>
      <c r="M37" s="160" t="s">
        <v>97</v>
      </c>
      <c r="N37" s="160" t="s">
        <v>97</v>
      </c>
      <c r="O37" s="160" t="s">
        <v>97</v>
      </c>
      <c r="P37" s="160" t="s">
        <v>97</v>
      </c>
      <c r="Q37" s="160" t="s">
        <v>97</v>
      </c>
      <c r="R37" s="160" t="s">
        <v>97</v>
      </c>
      <c r="S37" s="160" t="s">
        <v>97</v>
      </c>
      <c r="T37" s="161" t="s">
        <v>97</v>
      </c>
      <c r="U37" s="161" t="s">
        <v>97</v>
      </c>
      <c r="V37" s="161" t="s">
        <v>97</v>
      </c>
      <c r="W37" s="161" t="s">
        <v>97</v>
      </c>
      <c r="X37" s="161" t="s">
        <v>97</v>
      </c>
      <c r="Y37" s="162" t="s">
        <v>97</v>
      </c>
    </row>
    <row r="38" spans="1:25" ht="12" customHeight="1">
      <c r="A38" s="158" t="s">
        <v>72</v>
      </c>
      <c r="B38" s="159" t="s">
        <v>97</v>
      </c>
      <c r="C38" s="160" t="s">
        <v>97</v>
      </c>
      <c r="D38" s="160" t="s">
        <v>97</v>
      </c>
      <c r="E38" s="160" t="s">
        <v>97</v>
      </c>
      <c r="F38" s="160" t="s">
        <v>97</v>
      </c>
      <c r="G38" s="160" t="s">
        <v>97</v>
      </c>
      <c r="H38" s="160" t="s">
        <v>97</v>
      </c>
      <c r="I38" s="160" t="s">
        <v>97</v>
      </c>
      <c r="J38" s="160" t="s">
        <v>97</v>
      </c>
      <c r="K38" s="160" t="s">
        <v>97</v>
      </c>
      <c r="L38" s="160" t="s">
        <v>97</v>
      </c>
      <c r="M38" s="160" t="s">
        <v>97</v>
      </c>
      <c r="N38" s="160" t="s">
        <v>97</v>
      </c>
      <c r="O38" s="160" t="s">
        <v>97</v>
      </c>
      <c r="P38" s="160" t="s">
        <v>97</v>
      </c>
      <c r="Q38" s="160" t="s">
        <v>97</v>
      </c>
      <c r="R38" s="160" t="s">
        <v>97</v>
      </c>
      <c r="S38" s="160" t="s">
        <v>97</v>
      </c>
      <c r="T38" s="161" t="s">
        <v>97</v>
      </c>
      <c r="U38" s="161" t="s">
        <v>97</v>
      </c>
      <c r="V38" s="161" t="s">
        <v>97</v>
      </c>
      <c r="W38" s="161" t="s">
        <v>97</v>
      </c>
      <c r="X38" s="161" t="s">
        <v>97</v>
      </c>
      <c r="Y38" s="162" t="s">
        <v>97</v>
      </c>
    </row>
    <row r="39" spans="1:25" ht="12" customHeight="1">
      <c r="A39" s="158" t="s">
        <v>73</v>
      </c>
      <c r="B39" s="159" t="s">
        <v>97</v>
      </c>
      <c r="C39" s="160" t="s">
        <v>97</v>
      </c>
      <c r="D39" s="160" t="s">
        <v>97</v>
      </c>
      <c r="E39" s="160" t="s">
        <v>97</v>
      </c>
      <c r="F39" s="160" t="s">
        <v>97</v>
      </c>
      <c r="G39" s="160" t="s">
        <v>97</v>
      </c>
      <c r="H39" s="160" t="s">
        <v>97</v>
      </c>
      <c r="I39" s="160" t="s">
        <v>97</v>
      </c>
      <c r="J39" s="160" t="s">
        <v>97</v>
      </c>
      <c r="K39" s="160" t="s">
        <v>97</v>
      </c>
      <c r="L39" s="160" t="s">
        <v>97</v>
      </c>
      <c r="M39" s="160" t="s">
        <v>97</v>
      </c>
      <c r="N39" s="160" t="s">
        <v>97</v>
      </c>
      <c r="O39" s="160" t="s">
        <v>97</v>
      </c>
      <c r="P39" s="160" t="s">
        <v>97</v>
      </c>
      <c r="Q39" s="160" t="s">
        <v>97</v>
      </c>
      <c r="R39" s="160" t="s">
        <v>97</v>
      </c>
      <c r="S39" s="160" t="s">
        <v>97</v>
      </c>
      <c r="T39" s="161" t="s">
        <v>97</v>
      </c>
      <c r="U39" s="161" t="s">
        <v>97</v>
      </c>
      <c r="V39" s="161" t="s">
        <v>97</v>
      </c>
      <c r="W39" s="161" t="s">
        <v>97</v>
      </c>
      <c r="X39" s="161" t="s">
        <v>97</v>
      </c>
      <c r="Y39" s="162" t="s">
        <v>97</v>
      </c>
    </row>
    <row r="40" spans="1:25" ht="12" customHeight="1">
      <c r="A40" s="163" t="s">
        <v>74</v>
      </c>
      <c r="B40" s="164" t="s">
        <v>97</v>
      </c>
      <c r="C40" s="165" t="s">
        <v>97</v>
      </c>
      <c r="D40" s="165" t="s">
        <v>97</v>
      </c>
      <c r="E40" s="165" t="s">
        <v>97</v>
      </c>
      <c r="F40" s="165" t="s">
        <v>97</v>
      </c>
      <c r="G40" s="165" t="s">
        <v>97</v>
      </c>
      <c r="H40" s="165" t="s">
        <v>97</v>
      </c>
      <c r="I40" s="165" t="s">
        <v>97</v>
      </c>
      <c r="J40" s="165" t="s">
        <v>97</v>
      </c>
      <c r="K40" s="165" t="s">
        <v>97</v>
      </c>
      <c r="L40" s="165" t="s">
        <v>97</v>
      </c>
      <c r="M40" s="165" t="s">
        <v>97</v>
      </c>
      <c r="N40" s="165" t="s">
        <v>97</v>
      </c>
      <c r="O40" s="165" t="s">
        <v>97</v>
      </c>
      <c r="P40" s="165" t="s">
        <v>97</v>
      </c>
      <c r="Q40" s="165" t="s">
        <v>97</v>
      </c>
      <c r="R40" s="165" t="s">
        <v>97</v>
      </c>
      <c r="S40" s="165" t="s">
        <v>97</v>
      </c>
      <c r="T40" s="166" t="s">
        <v>97</v>
      </c>
      <c r="U40" s="166" t="s">
        <v>97</v>
      </c>
      <c r="V40" s="166" t="s">
        <v>97</v>
      </c>
      <c r="W40" s="166" t="s">
        <v>97</v>
      </c>
      <c r="X40" s="166" t="s">
        <v>97</v>
      </c>
      <c r="Y40" s="167" t="s">
        <v>97</v>
      </c>
    </row>
    <row r="42" spans="1:25" ht="12" customHeight="1">
      <c r="A42" s="145" t="s">
        <v>75</v>
      </c>
      <c r="B42" s="145"/>
      <c r="C42" s="145"/>
      <c r="D42" s="145"/>
      <c r="E42" s="145"/>
      <c r="G42" s="145"/>
      <c r="H42" s="145"/>
      <c r="I42" s="145"/>
      <c r="J42" s="145"/>
      <c r="K42" s="145"/>
    </row>
    <row r="43" spans="1:25" ht="15" customHeight="1">
      <c r="A43" s="168" t="s">
        <v>76</v>
      </c>
      <c r="B43" s="169" t="s">
        <v>77</v>
      </c>
      <c r="C43" s="170" t="s">
        <v>78</v>
      </c>
      <c r="D43" s="169" t="s">
        <v>77</v>
      </c>
      <c r="E43" s="170" t="s">
        <v>78</v>
      </c>
      <c r="F43" s="169" t="s">
        <v>77</v>
      </c>
      <c r="G43" s="170" t="s">
        <v>78</v>
      </c>
      <c r="H43" s="169" t="s">
        <v>77</v>
      </c>
      <c r="I43" s="170" t="s">
        <v>78</v>
      </c>
      <c r="J43" s="169" t="s">
        <v>77</v>
      </c>
      <c r="K43" s="170" t="s">
        <v>78</v>
      </c>
      <c r="L43" s="169" t="s">
        <v>77</v>
      </c>
      <c r="M43" s="171" t="s">
        <v>77</v>
      </c>
      <c r="N43" s="169" t="s">
        <v>77</v>
      </c>
      <c r="P43" s="73" t="s">
        <v>48</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82</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83</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85</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86</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87</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88</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89</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90</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99</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100</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Z68"/>
  <sheetViews>
    <sheetView showGridLines="0" zoomScale="90" zoomScaleNormal="90" workbookViewId="0"/>
  </sheetViews>
  <sheetFormatPr defaultColWidth="10.28515625" defaultRowHeight="15" customHeight="1"/>
  <cols>
    <col min="1" max="1" width="20.140625" style="207" customWidth="1"/>
    <col min="2" max="2" width="42.7109375" style="207" customWidth="1"/>
    <col min="3" max="5" width="24.7109375" style="207" customWidth="1"/>
    <col min="6" max="16384" width="10.28515625" style="207"/>
  </cols>
  <sheetData>
    <row r="1" spans="1:26" ht="18" customHeight="1">
      <c r="A1" s="204" t="s">
        <v>106</v>
      </c>
      <c r="B1" s="205"/>
      <c r="C1" s="205"/>
      <c r="D1" s="205"/>
      <c r="E1" s="206"/>
    </row>
    <row r="2" spans="1:26" ht="15" customHeight="1">
      <c r="A2" s="208"/>
      <c r="B2" s="209"/>
      <c r="C2" s="209"/>
      <c r="D2" s="209"/>
      <c r="E2" s="210" t="s">
        <v>107</v>
      </c>
    </row>
    <row r="3" spans="1:26" ht="15" customHeight="1">
      <c r="A3" s="211" t="s">
        <v>109</v>
      </c>
      <c r="B3" s="212" t="s">
        <v>110</v>
      </c>
      <c r="C3" s="213" t="s">
        <v>111</v>
      </c>
      <c r="D3" s="213"/>
      <c r="E3" s="214"/>
      <c r="Z3" s="215"/>
    </row>
    <row r="4" spans="1:26" ht="21" customHeight="1">
      <c r="A4" s="216"/>
      <c r="B4" s="217"/>
      <c r="C4" s="218" t="s">
        <v>112</v>
      </c>
      <c r="D4" s="219" t="s">
        <v>113</v>
      </c>
      <c r="E4" s="220" t="s">
        <v>114</v>
      </c>
      <c r="Z4" s="215"/>
    </row>
    <row r="5" spans="1:26" ht="15" customHeight="1">
      <c r="A5" s="221" t="s">
        <v>115</v>
      </c>
      <c r="B5" s="222" t="s">
        <v>116</v>
      </c>
      <c r="C5" s="223" t="s">
        <v>117</v>
      </c>
      <c r="D5" s="223" t="s">
        <v>117</v>
      </c>
      <c r="E5" s="224" t="s">
        <v>117</v>
      </c>
      <c r="F5" s="215"/>
      <c r="G5" s="215"/>
      <c r="H5" s="215"/>
      <c r="I5" s="215"/>
      <c r="J5" s="215"/>
      <c r="K5" s="215"/>
      <c r="L5" s="215"/>
      <c r="M5" s="215"/>
      <c r="N5" s="215"/>
      <c r="O5" s="215"/>
      <c r="P5" s="215"/>
      <c r="Q5" s="215"/>
      <c r="R5" s="215"/>
      <c r="S5" s="215"/>
      <c r="T5" s="215"/>
      <c r="U5" s="215"/>
      <c r="V5" s="215"/>
      <c r="W5" s="215"/>
      <c r="X5" s="215"/>
      <c r="Y5" s="215"/>
      <c r="Z5" s="215"/>
    </row>
    <row r="6" spans="1:26" ht="15" customHeight="1">
      <c r="A6" s="225" t="s">
        <v>118</v>
      </c>
      <c r="B6" s="226" t="s">
        <v>119</v>
      </c>
      <c r="C6" s="227" t="s">
        <v>120</v>
      </c>
      <c r="D6" s="227" t="s">
        <v>120</v>
      </c>
      <c r="E6" s="228" t="s">
        <v>120</v>
      </c>
      <c r="F6" s="215"/>
      <c r="G6" s="215"/>
      <c r="H6" s="215"/>
      <c r="I6" s="215"/>
      <c r="J6" s="215"/>
      <c r="K6" s="215"/>
      <c r="L6" s="215"/>
      <c r="M6" s="215"/>
      <c r="N6" s="215"/>
      <c r="O6" s="215"/>
      <c r="P6" s="215"/>
      <c r="Q6" s="215"/>
      <c r="R6" s="215"/>
      <c r="S6" s="215"/>
      <c r="T6" s="215"/>
      <c r="U6" s="215"/>
      <c r="V6" s="215"/>
      <c r="W6" s="215"/>
      <c r="X6" s="215"/>
      <c r="Y6" s="215"/>
      <c r="Z6" s="215"/>
    </row>
    <row r="7" spans="1:26" ht="15" customHeight="1">
      <c r="A7" s="225" t="s">
        <v>121</v>
      </c>
      <c r="B7" s="226" t="s">
        <v>122</v>
      </c>
      <c r="C7" s="227" t="s">
        <v>120</v>
      </c>
      <c r="D7" s="227" t="s">
        <v>120</v>
      </c>
      <c r="E7" s="228" t="s">
        <v>120</v>
      </c>
      <c r="F7" s="215"/>
      <c r="G7" s="215"/>
      <c r="H7" s="215"/>
      <c r="I7" s="215"/>
      <c r="J7" s="215"/>
      <c r="K7" s="215"/>
      <c r="L7" s="215"/>
      <c r="M7" s="215"/>
      <c r="N7" s="215"/>
      <c r="O7" s="215"/>
      <c r="P7" s="215"/>
      <c r="Q7" s="215"/>
      <c r="R7" s="215"/>
      <c r="S7" s="215"/>
      <c r="T7" s="215"/>
      <c r="U7" s="215"/>
      <c r="V7" s="215"/>
      <c r="W7" s="215"/>
      <c r="X7" s="215"/>
      <c r="Y7" s="215"/>
      <c r="Z7" s="215"/>
    </row>
    <row r="8" spans="1:26" ht="15" customHeight="1">
      <c r="A8" s="225" t="s">
        <v>123</v>
      </c>
      <c r="B8" s="226" t="s">
        <v>124</v>
      </c>
      <c r="C8" s="227" t="s">
        <v>125</v>
      </c>
      <c r="D8" s="227" t="s">
        <v>125</v>
      </c>
      <c r="E8" s="228" t="s">
        <v>125</v>
      </c>
      <c r="F8" s="215"/>
      <c r="G8" s="215"/>
      <c r="H8" s="215"/>
      <c r="I8" s="215"/>
      <c r="J8" s="215"/>
      <c r="K8" s="215"/>
      <c r="L8" s="215"/>
      <c r="M8" s="215"/>
      <c r="N8" s="215"/>
      <c r="O8" s="215"/>
      <c r="P8" s="215"/>
      <c r="Q8" s="215"/>
      <c r="R8" s="215"/>
      <c r="S8" s="215"/>
      <c r="T8" s="215"/>
      <c r="U8" s="215"/>
      <c r="V8" s="215"/>
      <c r="W8" s="215"/>
      <c r="X8" s="215"/>
      <c r="Y8" s="215"/>
      <c r="Z8" s="215"/>
    </row>
    <row r="9" spans="1:26" ht="15" customHeight="1">
      <c r="A9" s="225" t="s">
        <v>126</v>
      </c>
      <c r="B9" s="226" t="s">
        <v>127</v>
      </c>
      <c r="C9" s="227" t="s">
        <v>117</v>
      </c>
      <c r="D9" s="227" t="s">
        <v>117</v>
      </c>
      <c r="E9" s="228" t="s">
        <v>117</v>
      </c>
      <c r="F9" s="215"/>
      <c r="G9" s="215"/>
      <c r="H9" s="215"/>
      <c r="I9" s="215"/>
      <c r="J9" s="215"/>
      <c r="K9" s="215"/>
      <c r="L9" s="215"/>
      <c r="M9" s="215"/>
      <c r="N9" s="215"/>
      <c r="O9" s="215"/>
      <c r="P9" s="215"/>
      <c r="Q9" s="215"/>
      <c r="R9" s="215"/>
      <c r="S9" s="215"/>
      <c r="T9" s="215"/>
      <c r="U9" s="215"/>
      <c r="V9" s="215"/>
      <c r="W9" s="215"/>
      <c r="X9" s="215"/>
      <c r="Y9" s="215"/>
      <c r="Z9" s="215"/>
    </row>
    <row r="10" spans="1:26" ht="15" customHeight="1">
      <c r="A10" s="225" t="s">
        <v>128</v>
      </c>
      <c r="B10" s="226" t="s">
        <v>129</v>
      </c>
      <c r="C10" s="227" t="s">
        <v>130</v>
      </c>
      <c r="D10" s="227" t="s">
        <v>117</v>
      </c>
      <c r="E10" s="228" t="s">
        <v>130</v>
      </c>
      <c r="F10" s="215"/>
      <c r="G10" s="215"/>
      <c r="H10" s="215"/>
      <c r="I10" s="215"/>
      <c r="J10" s="215"/>
      <c r="K10" s="215"/>
      <c r="L10" s="215"/>
      <c r="M10" s="215"/>
      <c r="N10" s="215"/>
      <c r="O10" s="215"/>
      <c r="P10" s="215"/>
      <c r="Q10" s="215"/>
      <c r="R10" s="215"/>
      <c r="S10" s="215"/>
      <c r="T10" s="215"/>
      <c r="U10" s="215"/>
      <c r="V10" s="215"/>
      <c r="W10" s="215"/>
      <c r="X10" s="215"/>
      <c r="Y10" s="215"/>
      <c r="Z10" s="215"/>
    </row>
    <row r="11" spans="1:26" ht="15" customHeight="1">
      <c r="A11" s="229" t="s">
        <v>131</v>
      </c>
      <c r="B11" s="226" t="s">
        <v>132</v>
      </c>
      <c r="C11" s="227" t="s">
        <v>133</v>
      </c>
      <c r="D11" s="227" t="s">
        <v>134</v>
      </c>
      <c r="E11" s="228" t="s">
        <v>134</v>
      </c>
      <c r="F11" s="215"/>
      <c r="G11" s="215"/>
      <c r="H11" s="215"/>
      <c r="I11" s="215"/>
      <c r="J11" s="215"/>
      <c r="K11" s="215"/>
      <c r="L11" s="215"/>
      <c r="M11" s="215"/>
      <c r="N11" s="215"/>
      <c r="O11" s="215"/>
      <c r="P11" s="215"/>
      <c r="Q11" s="215"/>
      <c r="R11" s="215"/>
      <c r="S11" s="215"/>
      <c r="T11" s="215"/>
      <c r="U11" s="215"/>
      <c r="V11" s="215"/>
      <c r="W11" s="215"/>
      <c r="X11" s="215"/>
      <c r="Y11" s="215"/>
      <c r="Z11" s="215"/>
    </row>
    <row r="12" spans="1:26" ht="15" customHeight="1">
      <c r="A12" s="229" t="s">
        <v>135</v>
      </c>
      <c r="B12" s="226" t="s">
        <v>135</v>
      </c>
      <c r="C12" s="227" t="s">
        <v>134</v>
      </c>
      <c r="D12" s="227" t="s">
        <v>134</v>
      </c>
      <c r="E12" s="228" t="s">
        <v>134</v>
      </c>
      <c r="F12" s="215"/>
      <c r="G12" s="215"/>
      <c r="H12" s="215"/>
      <c r="I12" s="215"/>
      <c r="J12" s="215"/>
      <c r="K12" s="215"/>
      <c r="L12" s="215"/>
      <c r="M12" s="215"/>
      <c r="N12" s="215"/>
      <c r="O12" s="215"/>
      <c r="P12" s="215"/>
      <c r="Q12" s="215"/>
      <c r="R12" s="215"/>
      <c r="S12" s="215"/>
      <c r="T12" s="215"/>
      <c r="U12" s="215"/>
      <c r="V12" s="215"/>
      <c r="W12" s="215"/>
      <c r="X12" s="215"/>
      <c r="Y12" s="215"/>
      <c r="Z12" s="215"/>
    </row>
    <row r="13" spans="1:26" ht="15" customHeight="1">
      <c r="A13" s="229" t="s">
        <v>136</v>
      </c>
      <c r="B13" s="226" t="s">
        <v>137</v>
      </c>
      <c r="C13" s="227" t="s">
        <v>133</v>
      </c>
      <c r="D13" s="227" t="s">
        <v>134</v>
      </c>
      <c r="E13" s="228" t="s">
        <v>134</v>
      </c>
      <c r="F13" s="215"/>
      <c r="G13" s="215"/>
      <c r="H13" s="215"/>
      <c r="I13" s="215"/>
      <c r="J13" s="215"/>
      <c r="K13" s="215"/>
      <c r="L13" s="215"/>
      <c r="M13" s="215"/>
      <c r="N13" s="215"/>
      <c r="O13" s="215"/>
      <c r="P13" s="215"/>
      <c r="Q13" s="215"/>
      <c r="R13" s="215"/>
      <c r="S13" s="215"/>
      <c r="T13" s="215"/>
      <c r="U13" s="215"/>
      <c r="V13" s="215"/>
      <c r="W13" s="215"/>
      <c r="X13" s="215"/>
      <c r="Y13" s="215"/>
      <c r="Z13" s="215"/>
    </row>
    <row r="14" spans="1:26" ht="15" customHeight="1">
      <c r="A14" s="225" t="s">
        <v>138</v>
      </c>
      <c r="B14" s="226" t="s">
        <v>139</v>
      </c>
      <c r="C14" s="227" t="s">
        <v>133</v>
      </c>
      <c r="D14" s="227" t="s">
        <v>134</v>
      </c>
      <c r="E14" s="228" t="s">
        <v>134</v>
      </c>
      <c r="F14" s="215"/>
      <c r="G14" s="215"/>
      <c r="H14" s="215"/>
      <c r="I14" s="215"/>
      <c r="J14" s="215"/>
      <c r="K14" s="215"/>
      <c r="L14" s="215"/>
      <c r="M14" s="215"/>
      <c r="N14" s="215"/>
      <c r="O14" s="215"/>
      <c r="P14" s="215"/>
      <c r="Q14" s="215"/>
      <c r="R14" s="215"/>
      <c r="S14" s="215"/>
      <c r="T14" s="215"/>
      <c r="U14" s="215"/>
      <c r="V14" s="215"/>
      <c r="W14" s="215"/>
      <c r="X14" s="215"/>
      <c r="Y14" s="215"/>
      <c r="Z14" s="215"/>
    </row>
    <row r="15" spans="1:26" ht="15" customHeight="1">
      <c r="A15" s="225" t="s">
        <v>140</v>
      </c>
      <c r="B15" s="226" t="s">
        <v>141</v>
      </c>
      <c r="C15" s="227" t="s">
        <v>142</v>
      </c>
      <c r="D15" s="227" t="s">
        <v>142</v>
      </c>
      <c r="E15" s="228" t="s">
        <v>142</v>
      </c>
      <c r="F15" s="215"/>
      <c r="G15" s="215"/>
      <c r="H15" s="215"/>
      <c r="I15" s="215"/>
      <c r="J15" s="215"/>
      <c r="K15" s="215"/>
      <c r="L15" s="215"/>
      <c r="M15" s="215"/>
      <c r="N15" s="215"/>
      <c r="O15" s="215"/>
      <c r="P15" s="215"/>
      <c r="Q15" s="215"/>
      <c r="R15" s="215"/>
      <c r="S15" s="215"/>
      <c r="T15" s="215"/>
      <c r="U15" s="215"/>
      <c r="V15" s="215"/>
      <c r="W15" s="215"/>
      <c r="X15" s="215"/>
      <c r="Y15" s="215"/>
      <c r="Z15" s="215"/>
    </row>
    <row r="16" spans="1:26" ht="15" customHeight="1">
      <c r="A16" s="225" t="s">
        <v>143</v>
      </c>
      <c r="B16" s="226" t="s">
        <v>144</v>
      </c>
      <c r="C16" s="227" t="s">
        <v>133</v>
      </c>
      <c r="D16" s="227" t="s">
        <v>142</v>
      </c>
      <c r="E16" s="228" t="s">
        <v>142</v>
      </c>
      <c r="F16" s="215"/>
      <c r="G16" s="215"/>
      <c r="H16" s="215"/>
      <c r="I16" s="215"/>
      <c r="J16" s="215"/>
      <c r="K16" s="215"/>
      <c r="L16" s="215"/>
      <c r="M16" s="215"/>
      <c r="N16" s="215"/>
      <c r="O16" s="215"/>
      <c r="P16" s="215"/>
      <c r="Q16" s="215"/>
      <c r="R16" s="215"/>
      <c r="S16" s="215"/>
      <c r="T16" s="215"/>
      <c r="U16" s="215"/>
      <c r="V16" s="215"/>
      <c r="W16" s="215"/>
      <c r="X16" s="215"/>
      <c r="Y16" s="215"/>
      <c r="Z16" s="215"/>
    </row>
    <row r="17" spans="1:26" ht="15" customHeight="1">
      <c r="A17" s="225" t="s">
        <v>145</v>
      </c>
      <c r="B17" s="226" t="s">
        <v>146</v>
      </c>
      <c r="C17" s="227" t="s">
        <v>147</v>
      </c>
      <c r="D17" s="227" t="s">
        <v>147</v>
      </c>
      <c r="E17" s="228" t="s">
        <v>147</v>
      </c>
      <c r="F17" s="215"/>
      <c r="G17" s="215"/>
      <c r="H17" s="215"/>
      <c r="I17" s="215"/>
      <c r="J17" s="215"/>
      <c r="K17" s="215"/>
      <c r="L17" s="215"/>
      <c r="M17" s="215"/>
      <c r="N17" s="215"/>
      <c r="O17" s="215"/>
      <c r="P17" s="215"/>
      <c r="Q17" s="215"/>
      <c r="R17" s="215"/>
      <c r="S17" s="215"/>
      <c r="T17" s="215"/>
      <c r="U17" s="215"/>
      <c r="V17" s="215"/>
      <c r="W17" s="215"/>
      <c r="X17" s="215"/>
      <c r="Y17" s="215"/>
      <c r="Z17" s="215"/>
    </row>
    <row r="18" spans="1:26" ht="15" customHeight="1">
      <c r="A18" s="229" t="s">
        <v>148</v>
      </c>
      <c r="B18" s="226" t="s">
        <v>149</v>
      </c>
      <c r="C18" s="227" t="s">
        <v>150</v>
      </c>
      <c r="D18" s="227" t="s">
        <v>150</v>
      </c>
      <c r="E18" s="228" t="s">
        <v>150</v>
      </c>
      <c r="F18" s="215"/>
      <c r="G18" s="215"/>
      <c r="H18" s="215"/>
      <c r="I18" s="215"/>
      <c r="J18" s="215"/>
      <c r="K18" s="215"/>
      <c r="L18" s="215"/>
      <c r="M18" s="215"/>
      <c r="N18" s="215"/>
      <c r="O18" s="215"/>
      <c r="P18" s="215"/>
      <c r="Q18" s="215"/>
      <c r="R18" s="215"/>
      <c r="S18" s="215"/>
      <c r="T18" s="215"/>
      <c r="U18" s="215"/>
      <c r="V18" s="215"/>
      <c r="W18" s="215"/>
      <c r="X18" s="215"/>
      <c r="Y18" s="215"/>
      <c r="Z18" s="215"/>
    </row>
    <row r="19" spans="1:26" ht="15" customHeight="1">
      <c r="A19" s="229"/>
      <c r="B19" s="226"/>
      <c r="C19" s="227"/>
      <c r="D19" s="227"/>
      <c r="E19" s="228"/>
      <c r="F19" s="215"/>
      <c r="G19" s="215"/>
      <c r="H19" s="215"/>
      <c r="I19" s="215"/>
      <c r="J19" s="215"/>
      <c r="K19" s="215"/>
      <c r="L19" s="215"/>
      <c r="M19" s="215"/>
      <c r="N19" s="215"/>
      <c r="O19" s="215"/>
      <c r="P19" s="215"/>
      <c r="Q19" s="215"/>
      <c r="R19" s="215"/>
      <c r="S19" s="215"/>
      <c r="T19" s="215"/>
      <c r="U19" s="215"/>
      <c r="V19" s="215"/>
      <c r="W19" s="215"/>
      <c r="X19" s="215"/>
      <c r="Y19" s="215"/>
      <c r="Z19" s="215"/>
    </row>
    <row r="20" spans="1:26" ht="15" customHeight="1">
      <c r="A20" s="229"/>
      <c r="B20" s="226"/>
      <c r="C20" s="227"/>
      <c r="D20" s="227"/>
      <c r="E20" s="228"/>
      <c r="F20" s="215"/>
      <c r="G20" s="215"/>
      <c r="H20" s="215"/>
      <c r="I20" s="215"/>
      <c r="J20" s="215"/>
      <c r="K20" s="215"/>
      <c r="L20" s="215"/>
      <c r="M20" s="215"/>
      <c r="N20" s="215"/>
      <c r="O20" s="215"/>
      <c r="P20" s="215"/>
      <c r="Q20" s="215"/>
      <c r="R20" s="215"/>
      <c r="S20" s="215"/>
      <c r="T20" s="215"/>
      <c r="U20" s="215"/>
      <c r="V20" s="215"/>
      <c r="W20" s="215"/>
      <c r="X20" s="215"/>
      <c r="Y20" s="215"/>
      <c r="Z20" s="215"/>
    </row>
    <row r="21" spans="1:26" ht="15" customHeight="1">
      <c r="A21" s="229"/>
      <c r="B21" s="226"/>
      <c r="C21" s="227"/>
      <c r="D21" s="227"/>
      <c r="E21" s="228"/>
      <c r="F21" s="215"/>
      <c r="G21" s="215"/>
      <c r="H21" s="215"/>
      <c r="I21" s="215"/>
      <c r="J21" s="215"/>
      <c r="K21" s="215"/>
      <c r="L21" s="215"/>
      <c r="M21" s="215"/>
      <c r="N21" s="215"/>
      <c r="O21" s="215"/>
      <c r="P21" s="215"/>
      <c r="Q21" s="215"/>
      <c r="R21" s="215"/>
      <c r="S21" s="215"/>
      <c r="T21" s="215"/>
      <c r="U21" s="215"/>
      <c r="V21" s="215"/>
      <c r="W21" s="215"/>
      <c r="X21" s="215"/>
      <c r="Y21" s="215"/>
      <c r="Z21" s="215"/>
    </row>
    <row r="22" spans="1:26" ht="15" customHeight="1">
      <c r="A22" s="225"/>
      <c r="B22" s="226"/>
      <c r="C22" s="227"/>
      <c r="D22" s="227"/>
      <c r="E22" s="228"/>
      <c r="F22" s="215"/>
      <c r="G22" s="215"/>
      <c r="H22" s="215"/>
      <c r="I22" s="215"/>
      <c r="J22" s="215"/>
      <c r="K22" s="215"/>
      <c r="L22" s="215"/>
      <c r="M22" s="215"/>
      <c r="N22" s="215"/>
      <c r="O22" s="215"/>
      <c r="P22" s="215"/>
      <c r="Q22" s="215"/>
      <c r="R22" s="215"/>
      <c r="S22" s="215"/>
      <c r="T22" s="215"/>
      <c r="U22" s="215"/>
      <c r="V22" s="215"/>
      <c r="W22" s="215"/>
      <c r="X22" s="215"/>
      <c r="Y22" s="215"/>
      <c r="Z22" s="215"/>
    </row>
    <row r="23" spans="1:26" ht="15" customHeight="1">
      <c r="A23" s="225"/>
      <c r="B23" s="226"/>
      <c r="C23" s="227"/>
      <c r="D23" s="227"/>
      <c r="E23" s="228"/>
      <c r="F23" s="215"/>
      <c r="G23" s="215"/>
      <c r="H23" s="215"/>
      <c r="I23" s="215"/>
      <c r="J23" s="215"/>
      <c r="K23" s="215"/>
      <c r="L23" s="215"/>
      <c r="M23" s="215"/>
      <c r="N23" s="215"/>
      <c r="O23" s="215"/>
      <c r="P23" s="215"/>
      <c r="Q23" s="215"/>
      <c r="R23" s="215"/>
      <c r="S23" s="215"/>
      <c r="T23" s="215"/>
      <c r="U23" s="215"/>
      <c r="V23" s="215"/>
      <c r="W23" s="215"/>
      <c r="X23" s="215"/>
      <c r="Y23" s="215"/>
      <c r="Z23" s="215"/>
    </row>
    <row r="24" spans="1:26" ht="15" customHeight="1">
      <c r="A24" s="229"/>
      <c r="B24" s="226"/>
      <c r="C24" s="227"/>
      <c r="D24" s="227"/>
      <c r="E24" s="228"/>
      <c r="F24" s="215"/>
      <c r="G24" s="215"/>
      <c r="H24" s="215"/>
      <c r="I24" s="215"/>
      <c r="J24" s="215"/>
      <c r="K24" s="215"/>
      <c r="L24" s="215"/>
      <c r="M24" s="215"/>
      <c r="N24" s="215"/>
      <c r="O24" s="215"/>
      <c r="P24" s="215"/>
      <c r="Q24" s="215"/>
      <c r="R24" s="215"/>
      <c r="S24" s="215"/>
      <c r="T24" s="215"/>
      <c r="U24" s="215"/>
      <c r="V24" s="215"/>
      <c r="W24" s="215"/>
      <c r="X24" s="215"/>
      <c r="Y24" s="215"/>
      <c r="Z24" s="215"/>
    </row>
    <row r="25" spans="1:26" ht="15" customHeight="1">
      <c r="A25" s="229"/>
      <c r="B25" s="226"/>
      <c r="C25" s="227"/>
      <c r="D25" s="227"/>
      <c r="E25" s="228"/>
      <c r="F25" s="215"/>
      <c r="G25" s="215"/>
      <c r="H25" s="215"/>
      <c r="I25" s="215"/>
      <c r="J25" s="215"/>
      <c r="K25" s="215"/>
      <c r="L25" s="215"/>
      <c r="M25" s="215"/>
      <c r="N25" s="215"/>
      <c r="O25" s="215"/>
      <c r="P25" s="215"/>
      <c r="Q25" s="215"/>
      <c r="R25" s="215"/>
      <c r="S25" s="215"/>
      <c r="T25" s="215"/>
      <c r="U25" s="215"/>
      <c r="V25" s="215"/>
      <c r="W25" s="215"/>
      <c r="X25" s="215"/>
      <c r="Y25" s="215"/>
      <c r="Z25" s="215"/>
    </row>
    <row r="26" spans="1:26" s="215" customFormat="1" ht="15" customHeight="1">
      <c r="A26" s="229"/>
      <c r="B26" s="226"/>
      <c r="C26" s="227"/>
      <c r="D26" s="227"/>
      <c r="E26" s="228"/>
    </row>
    <row r="27" spans="1:26" ht="15" customHeight="1">
      <c r="A27" s="229"/>
      <c r="B27" s="226"/>
      <c r="C27" s="227"/>
      <c r="D27" s="227"/>
      <c r="E27" s="228"/>
      <c r="Z27" s="215"/>
    </row>
    <row r="28" spans="1:26" ht="15" customHeight="1">
      <c r="A28" s="229"/>
      <c r="B28" s="226"/>
      <c r="C28" s="227"/>
      <c r="D28" s="227"/>
      <c r="E28" s="228"/>
      <c r="Z28" s="215"/>
    </row>
    <row r="29" spans="1:26" ht="15" customHeight="1">
      <c r="A29" s="229"/>
      <c r="B29" s="226"/>
      <c r="C29" s="227"/>
      <c r="D29" s="227"/>
      <c r="E29" s="228"/>
      <c r="Z29" s="215"/>
    </row>
    <row r="30" spans="1:26" ht="15" customHeight="1">
      <c r="A30" s="230"/>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row>
    <row r="31" spans="1:26" ht="15" customHeight="1">
      <c r="A31" s="230"/>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15" customHeight="1">
      <c r="A32" s="230"/>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5" customHeight="1">
      <c r="A33" s="230"/>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5" customHeight="1">
      <c r="A34" s="230"/>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5" customHeight="1">
      <c r="A35" s="230"/>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15" customHeight="1">
      <c r="A36" s="230"/>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5" customHeight="1">
      <c r="A37" s="230"/>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15" customHeight="1">
      <c r="A38" s="230"/>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5" customHeight="1">
      <c r="A39" s="230"/>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15" customHeight="1">
      <c r="A40" s="230"/>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ht="15" customHeight="1">
      <c r="A41" s="230"/>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ht="15" customHeight="1">
      <c r="A42" s="230"/>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5" customHeight="1">
      <c r="A43" s="230"/>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5" customHeight="1">
      <c r="A44" s="230"/>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5" customHeight="1">
      <c r="A45" s="230"/>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5" customHeight="1">
      <c r="A46" s="230"/>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15"/>
    </row>
    <row r="48" spans="1:26" ht="15" customHeight="1">
      <c r="Z48" s="215"/>
    </row>
    <row r="49" spans="1:26" ht="15" customHeight="1">
      <c r="Z49" s="215"/>
    </row>
    <row r="50" spans="1:26" ht="15" customHeight="1">
      <c r="Z50" s="215"/>
    </row>
    <row r="51" spans="1:26" ht="15" customHeight="1">
      <c r="A51" s="230"/>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5" customHeight="1">
      <c r="A52" s="230"/>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5" customHeight="1">
      <c r="A53" s="230"/>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5" customHeight="1">
      <c r="A54" s="230"/>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5" customHeight="1">
      <c r="A55" s="230"/>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5" customHeight="1">
      <c r="A56" s="230"/>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5" customHeight="1">
      <c r="A57" s="230"/>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5" customHeight="1">
      <c r="A58" s="230"/>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 customHeight="1">
      <c r="A59" s="230"/>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5" customHeight="1">
      <c r="A60" s="230"/>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5" customHeight="1">
      <c r="A61" s="230"/>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5" customHeight="1">
      <c r="A62" s="230"/>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5" customHeight="1">
      <c r="A63" s="230"/>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5" customHeight="1">
      <c r="A64" s="230"/>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5" customHeight="1">
      <c r="A65" s="230"/>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5" customHeight="1">
      <c r="A66" s="230"/>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5" customHeight="1">
      <c r="A67" s="230"/>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5" customHeight="1">
      <c r="A68" s="23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15"/>
    </row>
  </sheetData>
  <mergeCells count="3">
    <mergeCell ref="A3:A4"/>
    <mergeCell ref="B3:B4"/>
    <mergeCell ref="C3:E3"/>
  </mergeCells>
  <phoneticPr fontId="3"/>
  <printOptions horizontalCentered="1"/>
  <pageMargins left="0.74803149606299213" right="0.74803149606299213" top="0.98425196850393704" bottom="0.98425196850393704" header="0.51181102362204722" footer="0.51181102362204722"/>
  <pageSetup paperSize="9" fitToHeight="0" orientation="landscape" horizontalDpi="400" verticalDpi="400" r:id="rId1"/>
  <headerFooter scaleWithDoc="0">
    <oddFooter>&amp;C&amp;"ＭＳ Ｐゴシック,標準"&amp;9(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51</vt:i4>
      </vt:variant>
    </vt:vector>
  </HeadingPairs>
  <TitlesOfParts>
    <vt:vector size="78" baseType="lpstr">
      <vt:lpstr>表紙</vt:lpstr>
      <vt:lpstr>外界条件</vt:lpstr>
      <vt:lpstr>位置情報</vt:lpstr>
      <vt:lpstr>外気温度等</vt:lpstr>
      <vt:lpstr>ETD(OW1)</vt:lpstr>
      <vt:lpstr>ETD(OW2)</vt:lpstr>
      <vt:lpstr>ETD(OR1)</vt:lpstr>
      <vt:lpstr>ETD(OR2)</vt:lpstr>
      <vt:lpstr>非空調室温度</vt:lpstr>
      <vt:lpstr>ガラス日射（標準）</vt:lpstr>
      <vt:lpstr>ガラス日射（2F-E）</vt:lpstr>
      <vt:lpstr>熱貫流率</vt:lpstr>
      <vt:lpstr>熱貫流率表</vt:lpstr>
      <vt:lpstr>各室熱負荷</vt:lpstr>
      <vt:lpstr>201</vt:lpstr>
      <vt:lpstr>204</vt:lpstr>
      <vt:lpstr>205</vt:lpstr>
      <vt:lpstr>208</vt:lpstr>
      <vt:lpstr>系統別集計</vt:lpstr>
      <vt:lpstr>AC-2系統集計表</vt:lpstr>
      <vt:lpstr>AC-2系統空気線図</vt:lpstr>
      <vt:lpstr>AC-2系統 DC</vt:lpstr>
      <vt:lpstr>熱源集計</vt:lpstr>
      <vt:lpstr>R-1系統冷熱源</vt:lpstr>
      <vt:lpstr>B-1系統再熱・再生熱源</vt:lpstr>
      <vt:lpstr>R-1系統温熱源</vt:lpstr>
      <vt:lpstr>市水系統加湿源</vt:lpstr>
      <vt:lpstr>'201'!ID</vt:lpstr>
      <vt:lpstr>'204'!ID</vt:lpstr>
      <vt:lpstr>'205'!ID</vt:lpstr>
      <vt:lpstr>'208'!ID</vt:lpstr>
      <vt:lpstr>外界条件!ID</vt:lpstr>
      <vt:lpstr>各室熱負荷!ID</vt:lpstr>
      <vt:lpstr>系統別集計!ID</vt:lpstr>
      <vt:lpstr>熱貫流率!ID</vt:lpstr>
      <vt:lpstr>熱源集計!ID</vt:lpstr>
      <vt:lpstr>表紙!ID</vt:lpstr>
      <vt:lpstr>'201'!Print_Area</vt:lpstr>
      <vt:lpstr>'204'!Print_Area</vt:lpstr>
      <vt:lpstr>'205'!Print_Area</vt:lpstr>
      <vt:lpstr>'208'!Print_Area</vt:lpstr>
      <vt:lpstr>'AC-2系統 DC'!Print_Area</vt:lpstr>
      <vt:lpstr>'AC-2系統集計表'!Print_Area</vt:lpstr>
      <vt:lpstr>'B-1系統再熱・再生熱源'!Print_Area</vt:lpstr>
      <vt:lpstr>'R-1系統温熱源'!Print_Area</vt:lpstr>
      <vt:lpstr>'R-1系統冷熱源'!Print_Area</vt:lpstr>
      <vt:lpstr>'ガラス日射（2F-E）'!Print_Area</vt:lpstr>
      <vt:lpstr>'ガラス日射（標準）'!Print_Area</vt:lpstr>
      <vt:lpstr>位置情報!Print_Area</vt:lpstr>
      <vt:lpstr>外界条件!Print_Area</vt:lpstr>
      <vt:lpstr>各室熱負荷!Print_Area</vt:lpstr>
      <vt:lpstr>系統別集計!Print_Area</vt:lpstr>
      <vt:lpstr>市水系統加湿源!Print_Area</vt:lpstr>
      <vt:lpstr>熱貫流率!Print_Area</vt:lpstr>
      <vt:lpstr>熱貫流率表!Print_Area</vt:lpstr>
      <vt:lpstr>熱源集計!Print_Area</vt:lpstr>
      <vt:lpstr>非空調室温度!Print_Area</vt:lpstr>
      <vt:lpstr>表紙!Print_Area</vt:lpstr>
      <vt:lpstr>'AC-2系統 DC'!Print_Titles</vt:lpstr>
      <vt:lpstr>'AC-2系統集計表'!Print_Titles</vt:lpstr>
      <vt:lpstr>'B-1系統再熱・再生熱源'!Print_Titles</vt:lpstr>
      <vt:lpstr>'R-1系統温熱源'!Print_Titles</vt:lpstr>
      <vt:lpstr>'R-1系統冷熱源'!Print_Titles</vt:lpstr>
      <vt:lpstr>'ガラス日射（2F-E）'!Print_Titles</vt:lpstr>
      <vt:lpstr>'ガラス日射（標準）'!Print_Titles</vt:lpstr>
      <vt:lpstr>市水系統加湿源!Print_Titles</vt:lpstr>
      <vt:lpstr>熱貫流率表!Print_Titles</vt:lpstr>
      <vt:lpstr>表紙!会社名</vt:lpstr>
      <vt:lpstr>表紙!顧客名</vt:lpstr>
      <vt:lpstr>'201'!室NO</vt:lpstr>
      <vt:lpstr>'204'!室NO</vt:lpstr>
      <vt:lpstr>'205'!室NO</vt:lpstr>
      <vt:lpstr>'208'!室NO</vt:lpstr>
      <vt:lpstr>表紙!日付</vt:lpstr>
      <vt:lpstr>'201'!面積</vt:lpstr>
      <vt:lpstr>'204'!面積</vt:lpstr>
      <vt:lpstr>'205'!面積</vt:lpstr>
      <vt:lpstr>'208'!面積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2017-05-28T03:38:15Z</dcterms:created>
  <dcterms:modified xsi:type="dcterms:W3CDTF">2017-05-28T03:39:06Z</dcterms:modified>
</cp:coreProperties>
</file>